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B861158D-AD6E-49B5-A5EF-1ADBAC416977}" xr6:coauthVersionLast="46" xr6:coauthVersionMax="46" xr10:uidLastSave="{00000000-0000-0000-0000-000000000000}"/>
  <bookViews>
    <workbookView xWindow="-120" yWindow="-120" windowWidth="29040" windowHeight="15840" tabRatio="791" xr2:uid="{C56ABFE1-393E-4103-BC60-F8FD0AA72165}"/>
  </bookViews>
  <sheets>
    <sheet name="水道" sheetId="1" r:id="rId1"/>
    <sheet name="簡易水道" sheetId="2" r:id="rId2"/>
    <sheet name="病院" sheetId="3" r:id="rId3"/>
    <sheet name="観光" sheetId="10" r:id="rId4"/>
    <sheet name="下水道（公共下水道）" sheetId="4" r:id="rId5"/>
    <sheet name="下水道（特定環境保全公共下水道）" sheetId="5" r:id="rId6"/>
    <sheet name="下水道（農業集落排水施設）" sheetId="6" r:id="rId7"/>
    <sheet name="下水道（林業集落排水施設）" sheetId="7" r:id="rId8"/>
    <sheet name="下水道（特定地域排水処理施設）" sheetId="8" r:id="rId9"/>
    <sheet name="下水道（個別排水処理施設）" sheetId="9" r:id="rId10"/>
    <sheet name="介護サービス（介護老人保健施設）" sheetId="11" r:id="rId11"/>
    <sheet name="介護サービス（指定介護老人福祉施設）" sheetId="12" r:id="rId12"/>
    <sheet name="介護サービス（老人短期入所施設）" sheetId="13" r:id="rId13"/>
    <sheet name="介護サービス（老人デイサービスセンター）" sheetId="1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xlnm.Print_Area" localSheetId="9">'下水道（個別排水処理施設）'!$A$1:$BS$315</definedName>
    <definedName name="_xlnm.Print_Area" localSheetId="4">'下水道（公共下水道）'!$A$1:$BS$315</definedName>
    <definedName name="_xlnm.Print_Area" localSheetId="5">'下水道（特定環境保全公共下水道）'!$A$1:$BS$315</definedName>
    <definedName name="_xlnm.Print_Area" localSheetId="8">'下水道（特定地域排水処理施設）'!$A$1:$BS$315</definedName>
    <definedName name="_xlnm.Print_Area" localSheetId="6">'下水道（農業集落排水施設）'!$A$1:$BS$315</definedName>
    <definedName name="_xlnm.Print_Area" localSheetId="7">'下水道（林業集落排水施設）'!$A$1:$BS$315</definedName>
    <definedName name="_xlnm.Print_Area" localSheetId="10">'介護サービス（介護老人保健施設）'!$A$1:$BS$315</definedName>
    <definedName name="_xlnm.Print_Area" localSheetId="11">'介護サービス（指定介護老人福祉施設）'!$A$1:$BS$315</definedName>
    <definedName name="_xlnm.Print_Area" localSheetId="13">'介護サービス（老人デイサービスセンター）'!$A$1:$BS$315</definedName>
    <definedName name="_xlnm.Print_Area" localSheetId="12">'介護サービス（老人短期入所施設）'!$A$1:$BS$315</definedName>
    <definedName name="_xlnm.Print_Area" localSheetId="1">簡易水道!$A$1:$BS$315</definedName>
    <definedName name="_xlnm.Print_Area" localSheetId="3">観光!$A$1:$BS$315</definedName>
    <definedName name="_xlnm.Print_Area" localSheetId="0">水道!$A$1:$BS$315</definedName>
    <definedName name="_xlnm.Print_Area" localSheetId="2">病院!$A$1:$BS$315</definedName>
    <definedName name="業種名" localSheetId="9">[9]選択肢!$K$2:$K$19</definedName>
    <definedName name="業種名" localSheetId="4">[4]選択肢!$K$2:$K$19</definedName>
    <definedName name="業種名" localSheetId="5">[5]選択肢!$K$2:$K$19</definedName>
    <definedName name="業種名" localSheetId="8">[8]選択肢!$K$2:$K$19</definedName>
    <definedName name="業種名" localSheetId="6">[6]選択肢!$K$2:$K$19</definedName>
    <definedName name="業種名" localSheetId="7">[7]選択肢!$K$2:$K$19</definedName>
    <definedName name="業種名" localSheetId="10">[11]選択肢!$K$2:$K$19</definedName>
    <definedName name="業種名" localSheetId="11">[12]選択肢!$K$2:$K$19</definedName>
    <definedName name="業種名" localSheetId="13">[14]選択肢!$K$2:$K$19</definedName>
    <definedName name="業種名" localSheetId="12">[13]選択肢!$K$2:$K$19</definedName>
    <definedName name="業種名" localSheetId="1">[2]選択肢!$K$2:$K$19</definedName>
    <definedName name="業種名" localSheetId="3">[10]選択肢!$K$2:$K$19</definedName>
    <definedName name="業種名" localSheetId="2">[3]選択肢!$K$2:$K$19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14" l="1"/>
  <c r="AM283" i="14"/>
  <c r="U283" i="14"/>
  <c r="N283" i="14"/>
  <c r="N277" i="14"/>
  <c r="BN274" i="14"/>
  <c r="BJ274" i="14"/>
  <c r="BF274" i="14"/>
  <c r="AU273" i="14"/>
  <c r="AM273" i="14"/>
  <c r="BF271" i="14"/>
  <c r="U271" i="14"/>
  <c r="N271" i="14"/>
  <c r="AM260" i="14"/>
  <c r="U260" i="14"/>
  <c r="N260" i="14"/>
  <c r="AY256" i="14"/>
  <c r="AQ256" i="14"/>
  <c r="AQ254" i="14"/>
  <c r="N254" i="14"/>
  <c r="AY253" i="14"/>
  <c r="AQ252" i="14"/>
  <c r="BN251" i="14"/>
  <c r="BJ251" i="14"/>
  <c r="BF251" i="14"/>
  <c r="AQ250" i="14"/>
  <c r="BF248" i="14"/>
  <c r="AY248" i="14"/>
  <c r="AQ248" i="14"/>
  <c r="U248" i="14"/>
  <c r="N248" i="14"/>
  <c r="AM236" i="14"/>
  <c r="U236" i="14"/>
  <c r="N236" i="14"/>
  <c r="N230" i="14"/>
  <c r="BN227" i="14"/>
  <c r="BJ227" i="14"/>
  <c r="BF227" i="14"/>
  <c r="BF224" i="14"/>
  <c r="AN224" i="14"/>
  <c r="U224" i="14"/>
  <c r="N224" i="14"/>
  <c r="AM212" i="14"/>
  <c r="U212" i="14"/>
  <c r="N212" i="14"/>
  <c r="N206" i="14"/>
  <c r="BN203" i="14"/>
  <c r="BJ203" i="14"/>
  <c r="BF203" i="14"/>
  <c r="AU203" i="14"/>
  <c r="AM203" i="14"/>
  <c r="BF200" i="14"/>
  <c r="U200" i="14"/>
  <c r="N200" i="14"/>
  <c r="AM188" i="14"/>
  <c r="U188" i="14"/>
  <c r="N188" i="14"/>
  <c r="N182" i="14"/>
  <c r="AU179" i="14"/>
  <c r="AQ179" i="14"/>
  <c r="AM179" i="14"/>
  <c r="AM176" i="14"/>
  <c r="U176" i="14"/>
  <c r="N176" i="14"/>
  <c r="AM164" i="14"/>
  <c r="U164" i="14"/>
  <c r="N164" i="14"/>
  <c r="AK159" i="14"/>
  <c r="AC159" i="14"/>
  <c r="U159" i="14"/>
  <c r="N158" i="14"/>
  <c r="BA153" i="14"/>
  <c r="AS153" i="14"/>
  <c r="AK153" i="14"/>
  <c r="AC153" i="14"/>
  <c r="U153" i="14"/>
  <c r="AC147" i="14"/>
  <c r="U147" i="14"/>
  <c r="BX142" i="14"/>
  <c r="BN142" i="14"/>
  <c r="BJ142" i="14"/>
  <c r="BF142" i="14"/>
  <c r="U141" i="14"/>
  <c r="BF139" i="14"/>
  <c r="AM139" i="14"/>
  <c r="N139" i="14"/>
  <c r="AM127" i="14"/>
  <c r="U127" i="14"/>
  <c r="N127" i="14"/>
  <c r="AY122" i="14"/>
  <c r="AS122" i="14"/>
  <c r="AM122" i="14"/>
  <c r="U122" i="14"/>
  <c r="N119" i="14"/>
  <c r="U117" i="14"/>
  <c r="BN113" i="14"/>
  <c r="BJ113" i="14"/>
  <c r="BF113" i="14"/>
  <c r="U112" i="14"/>
  <c r="N112" i="14"/>
  <c r="BF110" i="14"/>
  <c r="AM110" i="14"/>
  <c r="AM98" i="14"/>
  <c r="U98" i="14"/>
  <c r="N98" i="14"/>
  <c r="AC93" i="14"/>
  <c r="U93" i="14"/>
  <c r="N92" i="14"/>
  <c r="BN89" i="14"/>
  <c r="BJ89" i="14"/>
  <c r="BF89" i="14"/>
  <c r="AC88" i="14"/>
  <c r="U88" i="14"/>
  <c r="BF86" i="14"/>
  <c r="AM86" i="14"/>
  <c r="N86" i="14"/>
  <c r="AM74" i="14"/>
  <c r="U74" i="14"/>
  <c r="N74" i="14"/>
  <c r="N68" i="14"/>
  <c r="BN65" i="14"/>
  <c r="BJ65" i="14"/>
  <c r="BF65" i="14"/>
  <c r="AU65" i="14"/>
  <c r="AM65" i="14"/>
  <c r="BF62" i="14"/>
  <c r="U62" i="14"/>
  <c r="N62" i="14"/>
  <c r="AM51" i="14"/>
  <c r="U51" i="14"/>
  <c r="N51" i="14"/>
  <c r="AM47" i="14"/>
  <c r="AM46" i="14"/>
  <c r="AM45" i="14"/>
  <c r="AM44" i="14"/>
  <c r="N44" i="14"/>
  <c r="AM43" i="14"/>
  <c r="AM42" i="14"/>
  <c r="BN39" i="14"/>
  <c r="BJ39" i="14"/>
  <c r="BF39" i="14"/>
  <c r="AU38" i="14"/>
  <c r="AM38" i="14"/>
  <c r="BF36" i="14"/>
  <c r="U36" i="14"/>
  <c r="N36" i="14"/>
  <c r="BB24" i="14"/>
  <c r="AT24" i="14"/>
  <c r="AM24" i="14"/>
  <c r="AF24" i="14"/>
  <c r="Y24" i="14"/>
  <c r="R24" i="14"/>
  <c r="K24" i="14"/>
  <c r="D24" i="14"/>
  <c r="BG11" i="14"/>
  <c r="AO11" i="14"/>
  <c r="U11" i="14"/>
  <c r="C11" i="14"/>
  <c r="D296" i="13" l="1"/>
  <c r="AM283" i="13"/>
  <c r="U283" i="13"/>
  <c r="N283" i="13"/>
  <c r="N277" i="13"/>
  <c r="BN274" i="13"/>
  <c r="BJ274" i="13"/>
  <c r="BF274" i="13"/>
  <c r="AU273" i="13"/>
  <c r="AM273" i="13"/>
  <c r="BF271" i="13"/>
  <c r="U271" i="13"/>
  <c r="N271" i="13"/>
  <c r="AM260" i="13"/>
  <c r="U260" i="13"/>
  <c r="N260" i="13"/>
  <c r="AY256" i="13"/>
  <c r="AQ256" i="13"/>
  <c r="AQ254" i="13"/>
  <c r="N254" i="13"/>
  <c r="AY253" i="13"/>
  <c r="AQ252" i="13"/>
  <c r="BN251" i="13"/>
  <c r="BJ251" i="13"/>
  <c r="BF251" i="13"/>
  <c r="AQ250" i="13"/>
  <c r="BF248" i="13"/>
  <c r="AY248" i="13"/>
  <c r="AQ248" i="13"/>
  <c r="U248" i="13"/>
  <c r="N248" i="13"/>
  <c r="AM236" i="13"/>
  <c r="U236" i="13"/>
  <c r="N236" i="13"/>
  <c r="N230" i="13"/>
  <c r="BN227" i="13"/>
  <c r="BJ227" i="13"/>
  <c r="BF227" i="13"/>
  <c r="BF224" i="13"/>
  <c r="AN224" i="13"/>
  <c r="U224" i="13"/>
  <c r="N224" i="13"/>
  <c r="AM212" i="13"/>
  <c r="U212" i="13"/>
  <c r="N212" i="13"/>
  <c r="N206" i="13"/>
  <c r="BN203" i="13"/>
  <c r="BJ203" i="13"/>
  <c r="BF203" i="13"/>
  <c r="AU203" i="13"/>
  <c r="AM203" i="13"/>
  <c r="BF200" i="13"/>
  <c r="U200" i="13"/>
  <c r="N200" i="13"/>
  <c r="AM188" i="13"/>
  <c r="U188" i="13"/>
  <c r="N188" i="13"/>
  <c r="N182" i="13"/>
  <c r="AU179" i="13"/>
  <c r="AQ179" i="13"/>
  <c r="AM179" i="13"/>
  <c r="AM176" i="13"/>
  <c r="U176" i="13"/>
  <c r="N176" i="13"/>
  <c r="AM164" i="13"/>
  <c r="U164" i="13"/>
  <c r="N164" i="13"/>
  <c r="AK159" i="13"/>
  <c r="AC159" i="13"/>
  <c r="U159" i="13"/>
  <c r="N158" i="13"/>
  <c r="BA153" i="13"/>
  <c r="AS153" i="13"/>
  <c r="AK153" i="13"/>
  <c r="AC153" i="13"/>
  <c r="U153" i="13"/>
  <c r="AC147" i="13"/>
  <c r="U147" i="13"/>
  <c r="BX142" i="13"/>
  <c r="BN142" i="13"/>
  <c r="BJ142" i="13"/>
  <c r="BF142" i="13"/>
  <c r="U141" i="13"/>
  <c r="BF139" i="13"/>
  <c r="AM139" i="13"/>
  <c r="N139" i="13"/>
  <c r="AM127" i="13"/>
  <c r="U127" i="13"/>
  <c r="N127" i="13"/>
  <c r="AY122" i="13"/>
  <c r="AS122" i="13"/>
  <c r="AM122" i="13"/>
  <c r="U122" i="13"/>
  <c r="N119" i="13"/>
  <c r="U117" i="13"/>
  <c r="BN113" i="13"/>
  <c r="BJ113" i="13"/>
  <c r="BF113" i="13"/>
  <c r="U112" i="13"/>
  <c r="N112" i="13"/>
  <c r="BF110" i="13"/>
  <c r="AM110" i="13"/>
  <c r="AM98" i="13"/>
  <c r="U98" i="13"/>
  <c r="N98" i="13"/>
  <c r="AC93" i="13"/>
  <c r="U93" i="13"/>
  <c r="N92" i="13"/>
  <c r="BN89" i="13"/>
  <c r="BJ89" i="13"/>
  <c r="BF89" i="13"/>
  <c r="AC88" i="13"/>
  <c r="U88" i="13"/>
  <c r="BF86" i="13"/>
  <c r="AM86" i="13"/>
  <c r="N86" i="13"/>
  <c r="AM74" i="13"/>
  <c r="U74" i="13"/>
  <c r="N74" i="13"/>
  <c r="N68" i="13"/>
  <c r="BN65" i="13"/>
  <c r="BJ65" i="13"/>
  <c r="BF65" i="13"/>
  <c r="AU65" i="13"/>
  <c r="AM65" i="13"/>
  <c r="BF62" i="13"/>
  <c r="U62" i="13"/>
  <c r="N62" i="13"/>
  <c r="AM51" i="13"/>
  <c r="U51" i="13"/>
  <c r="N51" i="13"/>
  <c r="AM47" i="13"/>
  <c r="AM46" i="13"/>
  <c r="AM45" i="13"/>
  <c r="AM44" i="13"/>
  <c r="N44" i="13"/>
  <c r="AM43" i="13"/>
  <c r="AM42" i="13"/>
  <c r="BN39" i="13"/>
  <c r="BJ39" i="13"/>
  <c r="BF39" i="13"/>
  <c r="AU38" i="13"/>
  <c r="AM38" i="13"/>
  <c r="BF36" i="13"/>
  <c r="U36" i="13"/>
  <c r="N36" i="13"/>
  <c r="BB24" i="13"/>
  <c r="AT24" i="13"/>
  <c r="AM24" i="13"/>
  <c r="AF24" i="13"/>
  <c r="Y24" i="13"/>
  <c r="R24" i="13"/>
  <c r="K24" i="13"/>
  <c r="D24" i="13"/>
  <c r="BG11" i="13"/>
  <c r="AO11" i="13"/>
  <c r="U11" i="13"/>
  <c r="C11" i="13"/>
  <c r="D296" i="12" l="1"/>
  <c r="AM283" i="12"/>
  <c r="U283" i="12"/>
  <c r="N283" i="12"/>
  <c r="N277" i="12"/>
  <c r="BN274" i="12"/>
  <c r="BJ274" i="12"/>
  <c r="BF274" i="12"/>
  <c r="AU273" i="12"/>
  <c r="AM273" i="12"/>
  <c r="BF271" i="12"/>
  <c r="U271" i="12"/>
  <c r="N271" i="12"/>
  <c r="AM260" i="12"/>
  <c r="U260" i="12"/>
  <c r="N260" i="12"/>
  <c r="AY256" i="12"/>
  <c r="AQ256" i="12"/>
  <c r="AQ254" i="12"/>
  <c r="N254" i="12"/>
  <c r="AY253" i="12"/>
  <c r="AQ252" i="12"/>
  <c r="BN251" i="12"/>
  <c r="BJ251" i="12"/>
  <c r="BF251" i="12"/>
  <c r="AQ250" i="12"/>
  <c r="BF248" i="12"/>
  <c r="AY248" i="12"/>
  <c r="AQ248" i="12"/>
  <c r="U248" i="12"/>
  <c r="N248" i="12"/>
  <c r="AM236" i="12"/>
  <c r="U236" i="12"/>
  <c r="N236" i="12"/>
  <c r="N230" i="12"/>
  <c r="BN227" i="12"/>
  <c r="BJ227" i="12"/>
  <c r="BF227" i="12"/>
  <c r="BF224" i="12"/>
  <c r="AN224" i="12"/>
  <c r="U224" i="12"/>
  <c r="N224" i="12"/>
  <c r="AM212" i="12"/>
  <c r="U212" i="12"/>
  <c r="N212" i="12"/>
  <c r="N206" i="12"/>
  <c r="BN203" i="12"/>
  <c r="BJ203" i="12"/>
  <c r="BF203" i="12"/>
  <c r="AU203" i="12"/>
  <c r="AM203" i="12"/>
  <c r="BF200" i="12"/>
  <c r="U200" i="12"/>
  <c r="N200" i="12"/>
  <c r="AM188" i="12"/>
  <c r="U188" i="12"/>
  <c r="N188" i="12"/>
  <c r="N182" i="12"/>
  <c r="AU179" i="12"/>
  <c r="AQ179" i="12"/>
  <c r="AM179" i="12"/>
  <c r="AM176" i="12"/>
  <c r="U176" i="12"/>
  <c r="N176" i="12"/>
  <c r="AM164" i="12"/>
  <c r="U164" i="12"/>
  <c r="N164" i="12"/>
  <c r="AK159" i="12"/>
  <c r="AC159" i="12"/>
  <c r="U159" i="12"/>
  <c r="N158" i="12"/>
  <c r="BA153" i="12"/>
  <c r="AS153" i="12"/>
  <c r="AK153" i="12"/>
  <c r="AC153" i="12"/>
  <c r="U153" i="12"/>
  <c r="AC147" i="12"/>
  <c r="U147" i="12"/>
  <c r="BX142" i="12"/>
  <c r="BN142" i="12"/>
  <c r="BJ142" i="12"/>
  <c r="BF142" i="12"/>
  <c r="U141" i="12"/>
  <c r="BF139" i="12"/>
  <c r="AM139" i="12"/>
  <c r="N139" i="12"/>
  <c r="AM127" i="12"/>
  <c r="U127" i="12"/>
  <c r="N127" i="12"/>
  <c r="AY122" i="12"/>
  <c r="AS122" i="12"/>
  <c r="AM122" i="12"/>
  <c r="U122" i="12"/>
  <c r="N119" i="12"/>
  <c r="U117" i="12"/>
  <c r="BN113" i="12"/>
  <c r="BJ113" i="12"/>
  <c r="BF113" i="12"/>
  <c r="U112" i="12"/>
  <c r="N112" i="12"/>
  <c r="BF110" i="12"/>
  <c r="AM110" i="12"/>
  <c r="AM98" i="12"/>
  <c r="U98" i="12"/>
  <c r="N98" i="12"/>
  <c r="AC93" i="12"/>
  <c r="U93" i="12"/>
  <c r="N92" i="12"/>
  <c r="BN89" i="12"/>
  <c r="BJ89" i="12"/>
  <c r="BF89" i="12"/>
  <c r="AC88" i="12"/>
  <c r="U88" i="12"/>
  <c r="BF86" i="12"/>
  <c r="AM86" i="12"/>
  <c r="N86" i="12"/>
  <c r="AM74" i="12"/>
  <c r="U74" i="12"/>
  <c r="N74" i="12"/>
  <c r="N68" i="12"/>
  <c r="BN65" i="12"/>
  <c r="BJ65" i="12"/>
  <c r="BF65" i="12"/>
  <c r="AU65" i="12"/>
  <c r="AM65" i="12"/>
  <c r="BF62" i="12"/>
  <c r="U62" i="12"/>
  <c r="N62" i="12"/>
  <c r="AM51" i="12"/>
  <c r="U51" i="12"/>
  <c r="N51" i="12"/>
  <c r="AM47" i="12"/>
  <c r="AM46" i="12"/>
  <c r="AM45" i="12"/>
  <c r="AM44" i="12"/>
  <c r="N44" i="12"/>
  <c r="AM43" i="12"/>
  <c r="AM42" i="12"/>
  <c r="BN39" i="12"/>
  <c r="BJ39" i="12"/>
  <c r="BF39" i="12"/>
  <c r="AU38" i="12"/>
  <c r="AM38" i="12"/>
  <c r="BF36" i="12"/>
  <c r="U36" i="12"/>
  <c r="N36" i="12"/>
  <c r="BB24" i="12"/>
  <c r="AT24" i="12"/>
  <c r="AM24" i="12"/>
  <c r="AF24" i="12"/>
  <c r="Y24" i="12"/>
  <c r="R24" i="12"/>
  <c r="K24" i="12"/>
  <c r="D24" i="12"/>
  <c r="BG11" i="12"/>
  <c r="AO11" i="12"/>
  <c r="U11" i="12"/>
  <c r="C11" i="12"/>
  <c r="D296" i="11" l="1"/>
  <c r="AM283" i="11"/>
  <c r="U283" i="11"/>
  <c r="N283" i="11"/>
  <c r="N277" i="11"/>
  <c r="BN274" i="11"/>
  <c r="BJ274" i="11"/>
  <c r="BF274" i="11"/>
  <c r="AU273" i="11"/>
  <c r="AM273" i="11"/>
  <c r="BF271" i="11"/>
  <c r="U271" i="11"/>
  <c r="N271" i="11"/>
  <c r="AM260" i="11"/>
  <c r="U260" i="11"/>
  <c r="N260" i="11"/>
  <c r="AY256" i="11"/>
  <c r="AQ256" i="11"/>
  <c r="AQ254" i="11"/>
  <c r="N254" i="11"/>
  <c r="AY253" i="11"/>
  <c r="AQ252" i="11"/>
  <c r="BN251" i="11"/>
  <c r="BJ251" i="11"/>
  <c r="BF251" i="11"/>
  <c r="AQ250" i="11"/>
  <c r="BF248" i="11"/>
  <c r="AY248" i="11"/>
  <c r="AQ248" i="11"/>
  <c r="U248" i="11"/>
  <c r="N248" i="11"/>
  <c r="AM236" i="11"/>
  <c r="U236" i="11"/>
  <c r="N236" i="11"/>
  <c r="N230" i="11"/>
  <c r="BN227" i="11"/>
  <c r="BJ227" i="11"/>
  <c r="BF227" i="11"/>
  <c r="BF224" i="11"/>
  <c r="AN224" i="11"/>
  <c r="U224" i="11"/>
  <c r="N224" i="11"/>
  <c r="AM212" i="11"/>
  <c r="U212" i="11"/>
  <c r="N212" i="11"/>
  <c r="N206" i="11"/>
  <c r="BN203" i="11"/>
  <c r="BJ203" i="11"/>
  <c r="BF203" i="11"/>
  <c r="AU203" i="11"/>
  <c r="AM203" i="11"/>
  <c r="BF200" i="11"/>
  <c r="U200" i="11"/>
  <c r="N200" i="11"/>
  <c r="AM188" i="11"/>
  <c r="U188" i="11"/>
  <c r="N188" i="11"/>
  <c r="N182" i="11"/>
  <c r="AU179" i="11"/>
  <c r="AQ179" i="11"/>
  <c r="AM179" i="11"/>
  <c r="AM176" i="11"/>
  <c r="U176" i="11"/>
  <c r="N176" i="11"/>
  <c r="AM164" i="11"/>
  <c r="U164" i="11"/>
  <c r="N164" i="11"/>
  <c r="AK159" i="11"/>
  <c r="AC159" i="11"/>
  <c r="U159" i="11"/>
  <c r="N158" i="11"/>
  <c r="BA153" i="11"/>
  <c r="AS153" i="11"/>
  <c r="AK153" i="11"/>
  <c r="AC153" i="11"/>
  <c r="U153" i="11"/>
  <c r="AC147" i="11"/>
  <c r="U147" i="11"/>
  <c r="BX142" i="11"/>
  <c r="BN142" i="11"/>
  <c r="BJ142" i="11"/>
  <c r="BF142" i="11"/>
  <c r="U141" i="11"/>
  <c r="BF139" i="11"/>
  <c r="AM139" i="11"/>
  <c r="N139" i="11"/>
  <c r="AM127" i="11"/>
  <c r="U127" i="11"/>
  <c r="N127" i="11"/>
  <c r="AY122" i="11"/>
  <c r="AS122" i="11"/>
  <c r="AM122" i="11"/>
  <c r="U122" i="11"/>
  <c r="N119" i="11"/>
  <c r="U117" i="11"/>
  <c r="BN113" i="11"/>
  <c r="BJ113" i="11"/>
  <c r="BF113" i="11"/>
  <c r="U112" i="11"/>
  <c r="N112" i="11"/>
  <c r="BF110" i="11"/>
  <c r="AM110" i="11"/>
  <c r="AM98" i="11"/>
  <c r="U98" i="11"/>
  <c r="N98" i="11"/>
  <c r="AC93" i="11"/>
  <c r="U93" i="11"/>
  <c r="N92" i="11"/>
  <c r="BN89" i="11"/>
  <c r="BJ89" i="11"/>
  <c r="BF89" i="11"/>
  <c r="AC88" i="11"/>
  <c r="U88" i="11"/>
  <c r="BF86" i="11"/>
  <c r="AM86" i="11"/>
  <c r="N86" i="11"/>
  <c r="AM74" i="11"/>
  <c r="U74" i="11"/>
  <c r="N74" i="11"/>
  <c r="N68" i="11"/>
  <c r="BN65" i="11"/>
  <c r="BJ65" i="11"/>
  <c r="BF65" i="11"/>
  <c r="AU65" i="11"/>
  <c r="AM65" i="11"/>
  <c r="BF62" i="11"/>
  <c r="U62" i="11"/>
  <c r="N62" i="11"/>
  <c r="AM51" i="11"/>
  <c r="U51" i="11"/>
  <c r="N51" i="11"/>
  <c r="AM47" i="11"/>
  <c r="AM46" i="11"/>
  <c r="AM45" i="11"/>
  <c r="AM44" i="11"/>
  <c r="N44" i="11"/>
  <c r="AM43" i="11"/>
  <c r="AM42" i="11"/>
  <c r="BN39" i="11"/>
  <c r="BJ39" i="11"/>
  <c r="BF39" i="11"/>
  <c r="AU38" i="11"/>
  <c r="AM38" i="11"/>
  <c r="BF36" i="11"/>
  <c r="U36" i="11"/>
  <c r="N36" i="11"/>
  <c r="BB24" i="11"/>
  <c r="AT24" i="11"/>
  <c r="AM24" i="11"/>
  <c r="AF24" i="11"/>
  <c r="Y24" i="11"/>
  <c r="R24" i="11"/>
  <c r="K24" i="11"/>
  <c r="D24" i="11"/>
  <c r="BG11" i="11"/>
  <c r="AO11" i="11"/>
  <c r="U11" i="11"/>
  <c r="C11" i="11"/>
  <c r="D296" i="10" l="1"/>
  <c r="AM283" i="10"/>
  <c r="U283" i="10"/>
  <c r="N283" i="10"/>
  <c r="N277" i="10"/>
  <c r="BN274" i="10"/>
  <c r="BJ274" i="10"/>
  <c r="BF274" i="10"/>
  <c r="AU273" i="10"/>
  <c r="AM273" i="10"/>
  <c r="BF271" i="10"/>
  <c r="U271" i="10"/>
  <c r="N271" i="10"/>
  <c r="AM260" i="10"/>
  <c r="U260" i="10"/>
  <c r="N260" i="10"/>
  <c r="AY256" i="10"/>
  <c r="AQ256" i="10"/>
  <c r="AQ254" i="10"/>
  <c r="N254" i="10"/>
  <c r="AY253" i="10"/>
  <c r="AQ252" i="10"/>
  <c r="BN251" i="10"/>
  <c r="BJ251" i="10"/>
  <c r="BF251" i="10"/>
  <c r="AQ250" i="10"/>
  <c r="BF248" i="10"/>
  <c r="AY248" i="10"/>
  <c r="AQ248" i="10"/>
  <c r="U248" i="10"/>
  <c r="N248" i="10"/>
  <c r="AM236" i="10"/>
  <c r="U236" i="10"/>
  <c r="N236" i="10"/>
  <c r="N230" i="10"/>
  <c r="BN227" i="10"/>
  <c r="BJ227" i="10"/>
  <c r="BF227" i="10"/>
  <c r="BF224" i="10"/>
  <c r="AN224" i="10"/>
  <c r="U224" i="10"/>
  <c r="N224" i="10"/>
  <c r="AM212" i="10"/>
  <c r="U212" i="10"/>
  <c r="N212" i="10"/>
  <c r="N206" i="10"/>
  <c r="BN203" i="10"/>
  <c r="BJ203" i="10"/>
  <c r="BF203" i="10"/>
  <c r="AU203" i="10"/>
  <c r="AM203" i="10"/>
  <c r="BF200" i="10"/>
  <c r="U200" i="10"/>
  <c r="N200" i="10"/>
  <c r="AM188" i="10"/>
  <c r="U188" i="10"/>
  <c r="N188" i="10"/>
  <c r="N182" i="10"/>
  <c r="AU179" i="10"/>
  <c r="AQ179" i="10"/>
  <c r="AM179" i="10"/>
  <c r="AM176" i="10"/>
  <c r="U176" i="10"/>
  <c r="N176" i="10"/>
  <c r="AM164" i="10"/>
  <c r="U164" i="10"/>
  <c r="N164" i="10"/>
  <c r="AK159" i="10"/>
  <c r="AC159" i="10"/>
  <c r="U159" i="10"/>
  <c r="N158" i="10"/>
  <c r="BA153" i="10"/>
  <c r="AS153" i="10"/>
  <c r="AK153" i="10"/>
  <c r="AC153" i="10"/>
  <c r="U153" i="10"/>
  <c r="AC147" i="10"/>
  <c r="U147" i="10"/>
  <c r="BX142" i="10"/>
  <c r="BN142" i="10"/>
  <c r="BJ142" i="10"/>
  <c r="BF142" i="10"/>
  <c r="U141" i="10"/>
  <c r="BF139" i="10"/>
  <c r="AM139" i="10"/>
  <c r="N139" i="10"/>
  <c r="AM127" i="10"/>
  <c r="U127" i="10"/>
  <c r="N127" i="10"/>
  <c r="AY122" i="10"/>
  <c r="AS122" i="10"/>
  <c r="AM122" i="10"/>
  <c r="U122" i="10"/>
  <c r="N119" i="10"/>
  <c r="U117" i="10"/>
  <c r="BN113" i="10"/>
  <c r="BJ113" i="10"/>
  <c r="BF113" i="10"/>
  <c r="U112" i="10"/>
  <c r="N112" i="10"/>
  <c r="BF110" i="10"/>
  <c r="AM110" i="10"/>
  <c r="AM98" i="10"/>
  <c r="U98" i="10"/>
  <c r="N98" i="10"/>
  <c r="AC93" i="10"/>
  <c r="U93" i="10"/>
  <c r="N92" i="10"/>
  <c r="BN89" i="10"/>
  <c r="BJ89" i="10"/>
  <c r="BF89" i="10"/>
  <c r="AC88" i="10"/>
  <c r="U88" i="10"/>
  <c r="BF86" i="10"/>
  <c r="AM86" i="10"/>
  <c r="N86" i="10"/>
  <c r="AM74" i="10"/>
  <c r="U74" i="10"/>
  <c r="N74" i="10"/>
  <c r="N68" i="10"/>
  <c r="BN65" i="10"/>
  <c r="BJ65" i="10"/>
  <c r="BF65" i="10"/>
  <c r="AU65" i="10"/>
  <c r="AM65" i="10"/>
  <c r="BF62" i="10"/>
  <c r="U62" i="10"/>
  <c r="N62" i="10"/>
  <c r="AM51" i="10"/>
  <c r="U51" i="10"/>
  <c r="N51" i="10"/>
  <c r="AM47" i="10"/>
  <c r="AM46" i="10"/>
  <c r="AM45" i="10"/>
  <c r="AM44" i="10"/>
  <c r="N44" i="10"/>
  <c r="AM43" i="10"/>
  <c r="AM42" i="10"/>
  <c r="BN39" i="10"/>
  <c r="BJ39" i="10"/>
  <c r="BF39" i="10"/>
  <c r="AU38" i="10"/>
  <c r="AM38" i="10"/>
  <c r="BF36" i="10"/>
  <c r="U36" i="10"/>
  <c r="N36" i="10"/>
  <c r="BB24" i="10"/>
  <c r="AT24" i="10"/>
  <c r="AM24" i="10"/>
  <c r="AF24" i="10"/>
  <c r="Y24" i="10"/>
  <c r="R24" i="10"/>
  <c r="K24" i="10"/>
  <c r="D24" i="10"/>
  <c r="BG11" i="10"/>
  <c r="AO11" i="10"/>
  <c r="U11" i="10"/>
  <c r="C11" i="10"/>
  <c r="D296" i="9" l="1"/>
  <c r="AM283" i="9"/>
  <c r="U283" i="9"/>
  <c r="N283" i="9"/>
  <c r="N277" i="9"/>
  <c r="BN274" i="9"/>
  <c r="BJ274" i="9"/>
  <c r="BF274" i="9"/>
  <c r="AU273" i="9"/>
  <c r="AM273" i="9"/>
  <c r="BF271" i="9"/>
  <c r="U271" i="9"/>
  <c r="N271" i="9"/>
  <c r="AM260" i="9"/>
  <c r="U260" i="9"/>
  <c r="N260" i="9"/>
  <c r="AY256" i="9"/>
  <c r="AQ256" i="9"/>
  <c r="AQ254" i="9"/>
  <c r="N254" i="9"/>
  <c r="AY253" i="9"/>
  <c r="AQ252" i="9"/>
  <c r="BN251" i="9"/>
  <c r="BJ251" i="9"/>
  <c r="BF251" i="9"/>
  <c r="AQ250" i="9"/>
  <c r="BF248" i="9"/>
  <c r="AY248" i="9"/>
  <c r="AQ248" i="9"/>
  <c r="U248" i="9"/>
  <c r="N248" i="9"/>
  <c r="AM236" i="9"/>
  <c r="U236" i="9"/>
  <c r="N236" i="9"/>
  <c r="N230" i="9"/>
  <c r="BN227" i="9"/>
  <c r="BJ227" i="9"/>
  <c r="BF227" i="9"/>
  <c r="BF224" i="9"/>
  <c r="AN224" i="9"/>
  <c r="U224" i="9"/>
  <c r="N224" i="9"/>
  <c r="AM212" i="9"/>
  <c r="U212" i="9"/>
  <c r="N212" i="9"/>
  <c r="N206" i="9"/>
  <c r="BN203" i="9"/>
  <c r="BJ203" i="9"/>
  <c r="BF203" i="9"/>
  <c r="AU203" i="9"/>
  <c r="AM203" i="9"/>
  <c r="BF200" i="9"/>
  <c r="U200" i="9"/>
  <c r="N200" i="9"/>
  <c r="AM188" i="9"/>
  <c r="U188" i="9"/>
  <c r="N188" i="9"/>
  <c r="N182" i="9"/>
  <c r="AU179" i="9"/>
  <c r="AQ179" i="9"/>
  <c r="AM179" i="9"/>
  <c r="AM176" i="9"/>
  <c r="U176" i="9"/>
  <c r="N176" i="9"/>
  <c r="AM164" i="9"/>
  <c r="U164" i="9"/>
  <c r="N164" i="9"/>
  <c r="AK159" i="9"/>
  <c r="AC159" i="9"/>
  <c r="U159" i="9"/>
  <c r="N158" i="9"/>
  <c r="BA153" i="9"/>
  <c r="AS153" i="9"/>
  <c r="AK153" i="9"/>
  <c r="AC153" i="9"/>
  <c r="U153" i="9"/>
  <c r="AC147" i="9"/>
  <c r="U147" i="9"/>
  <c r="BX142" i="9"/>
  <c r="BN142" i="9"/>
  <c r="BJ142" i="9"/>
  <c r="BF142" i="9"/>
  <c r="U141" i="9"/>
  <c r="BF139" i="9"/>
  <c r="AM139" i="9"/>
  <c r="N139" i="9"/>
  <c r="AM127" i="9"/>
  <c r="U127" i="9"/>
  <c r="N127" i="9"/>
  <c r="AY122" i="9"/>
  <c r="AS122" i="9"/>
  <c r="AM122" i="9"/>
  <c r="U122" i="9"/>
  <c r="N119" i="9"/>
  <c r="U117" i="9"/>
  <c r="BN113" i="9"/>
  <c r="BJ113" i="9"/>
  <c r="BF113" i="9"/>
  <c r="U112" i="9"/>
  <c r="N112" i="9"/>
  <c r="BF110" i="9"/>
  <c r="AM110" i="9"/>
  <c r="AM98" i="9"/>
  <c r="U98" i="9"/>
  <c r="N98" i="9"/>
  <c r="AC93" i="9"/>
  <c r="U93" i="9"/>
  <c r="N92" i="9"/>
  <c r="BN89" i="9"/>
  <c r="BJ89" i="9"/>
  <c r="BF89" i="9"/>
  <c r="AC88" i="9"/>
  <c r="U88" i="9"/>
  <c r="BF86" i="9"/>
  <c r="AM86" i="9"/>
  <c r="N86" i="9"/>
  <c r="AM74" i="9"/>
  <c r="U74" i="9"/>
  <c r="N74" i="9"/>
  <c r="N68" i="9"/>
  <c r="BN65" i="9"/>
  <c r="BJ65" i="9"/>
  <c r="BF65" i="9"/>
  <c r="AU65" i="9"/>
  <c r="AM65" i="9"/>
  <c r="BF62" i="9"/>
  <c r="U62" i="9"/>
  <c r="N62" i="9"/>
  <c r="AM51" i="9"/>
  <c r="U51" i="9"/>
  <c r="N51" i="9"/>
  <c r="AM47" i="9"/>
  <c r="AM46" i="9"/>
  <c r="AM45" i="9"/>
  <c r="AM44" i="9"/>
  <c r="N44" i="9"/>
  <c r="AM43" i="9"/>
  <c r="AM42" i="9"/>
  <c r="BN39" i="9"/>
  <c r="BJ39" i="9"/>
  <c r="BF39" i="9"/>
  <c r="AU38" i="9"/>
  <c r="AM38" i="9"/>
  <c r="BF36" i="9"/>
  <c r="U36" i="9"/>
  <c r="N36" i="9"/>
  <c r="BB24" i="9"/>
  <c r="AT24" i="9"/>
  <c r="AM24" i="9"/>
  <c r="AF24" i="9"/>
  <c r="Y24" i="9"/>
  <c r="R24" i="9"/>
  <c r="K24" i="9"/>
  <c r="D24" i="9"/>
  <c r="BG11" i="9"/>
  <c r="AO11" i="9"/>
  <c r="U11" i="9"/>
  <c r="C11" i="9"/>
  <c r="D296" i="8" l="1"/>
  <c r="AM283" i="8"/>
  <c r="U283" i="8"/>
  <c r="N283" i="8"/>
  <c r="N277" i="8"/>
  <c r="BN274" i="8"/>
  <c r="BJ274" i="8"/>
  <c r="BF274" i="8"/>
  <c r="AU273" i="8"/>
  <c r="AM273" i="8"/>
  <c r="BF271" i="8"/>
  <c r="U271" i="8"/>
  <c r="N271" i="8"/>
  <c r="AM260" i="8"/>
  <c r="U260" i="8"/>
  <c r="N260" i="8"/>
  <c r="AY256" i="8"/>
  <c r="AQ256" i="8"/>
  <c r="AQ254" i="8"/>
  <c r="N254" i="8"/>
  <c r="AY253" i="8"/>
  <c r="AQ252" i="8"/>
  <c r="BN251" i="8"/>
  <c r="BJ251" i="8"/>
  <c r="BF251" i="8"/>
  <c r="AQ250" i="8"/>
  <c r="BF248" i="8"/>
  <c r="AY248" i="8"/>
  <c r="AQ248" i="8"/>
  <c r="U248" i="8"/>
  <c r="N248" i="8"/>
  <c r="AM236" i="8"/>
  <c r="U236" i="8"/>
  <c r="N236" i="8"/>
  <c r="N230" i="8"/>
  <c r="BN227" i="8"/>
  <c r="BJ227" i="8"/>
  <c r="BF227" i="8"/>
  <c r="BF224" i="8"/>
  <c r="AN224" i="8"/>
  <c r="U224" i="8"/>
  <c r="N224" i="8"/>
  <c r="AM212" i="8"/>
  <c r="U212" i="8"/>
  <c r="N212" i="8"/>
  <c r="N206" i="8"/>
  <c r="BN203" i="8"/>
  <c r="BJ203" i="8"/>
  <c r="BF203" i="8"/>
  <c r="AU203" i="8"/>
  <c r="AM203" i="8"/>
  <c r="BF200" i="8"/>
  <c r="U200" i="8"/>
  <c r="N200" i="8"/>
  <c r="AM188" i="8"/>
  <c r="U188" i="8"/>
  <c r="N188" i="8"/>
  <c r="N182" i="8"/>
  <c r="AU179" i="8"/>
  <c r="AQ179" i="8"/>
  <c r="AM179" i="8"/>
  <c r="AM176" i="8"/>
  <c r="U176" i="8"/>
  <c r="N176" i="8"/>
  <c r="AM164" i="8"/>
  <c r="U164" i="8"/>
  <c r="N164" i="8"/>
  <c r="AK159" i="8"/>
  <c r="AC159" i="8"/>
  <c r="U159" i="8"/>
  <c r="N158" i="8"/>
  <c r="BA153" i="8"/>
  <c r="AS153" i="8"/>
  <c r="AK153" i="8"/>
  <c r="AC153" i="8"/>
  <c r="U153" i="8"/>
  <c r="AC147" i="8"/>
  <c r="U147" i="8"/>
  <c r="BX142" i="8"/>
  <c r="BN142" i="8"/>
  <c r="BJ142" i="8"/>
  <c r="BF142" i="8"/>
  <c r="U141" i="8"/>
  <c r="BF139" i="8"/>
  <c r="AM139" i="8"/>
  <c r="N139" i="8"/>
  <c r="AM127" i="8"/>
  <c r="U127" i="8"/>
  <c r="N127" i="8"/>
  <c r="AY122" i="8"/>
  <c r="AS122" i="8"/>
  <c r="AM122" i="8"/>
  <c r="U122" i="8"/>
  <c r="N119" i="8"/>
  <c r="U117" i="8"/>
  <c r="BN113" i="8"/>
  <c r="BJ113" i="8"/>
  <c r="BF113" i="8"/>
  <c r="U112" i="8"/>
  <c r="N112" i="8"/>
  <c r="BF110" i="8"/>
  <c r="AM110" i="8"/>
  <c r="AM98" i="8"/>
  <c r="U98" i="8"/>
  <c r="N98" i="8"/>
  <c r="AC93" i="8"/>
  <c r="U93" i="8"/>
  <c r="N92" i="8"/>
  <c r="BN89" i="8"/>
  <c r="BJ89" i="8"/>
  <c r="BF89" i="8"/>
  <c r="AC88" i="8"/>
  <c r="U88" i="8"/>
  <c r="BF86" i="8"/>
  <c r="AM86" i="8"/>
  <c r="N86" i="8"/>
  <c r="AM74" i="8"/>
  <c r="U74" i="8"/>
  <c r="N74" i="8"/>
  <c r="N68" i="8"/>
  <c r="BN65" i="8"/>
  <c r="BJ65" i="8"/>
  <c r="BF65" i="8"/>
  <c r="AU65" i="8"/>
  <c r="AM65" i="8"/>
  <c r="BF62" i="8"/>
  <c r="U62" i="8"/>
  <c r="N62" i="8"/>
  <c r="AM51" i="8"/>
  <c r="U51" i="8"/>
  <c r="N51" i="8"/>
  <c r="AM47" i="8"/>
  <c r="AM46" i="8"/>
  <c r="AM45" i="8"/>
  <c r="AM44" i="8"/>
  <c r="N44" i="8"/>
  <c r="AM43" i="8"/>
  <c r="AM42" i="8"/>
  <c r="BN39" i="8"/>
  <c r="BJ39" i="8"/>
  <c r="BF39" i="8"/>
  <c r="AU38" i="8"/>
  <c r="AM38" i="8"/>
  <c r="BF36" i="8"/>
  <c r="U36" i="8"/>
  <c r="N36" i="8"/>
  <c r="BB24" i="8"/>
  <c r="AT24" i="8"/>
  <c r="AM24" i="8"/>
  <c r="AF24" i="8"/>
  <c r="Y24" i="8"/>
  <c r="R24" i="8"/>
  <c r="K24" i="8"/>
  <c r="D24" i="8"/>
  <c r="BG11" i="8"/>
  <c r="AO11" i="8"/>
  <c r="U11" i="8"/>
  <c r="C11" i="8"/>
  <c r="D296" i="7" l="1"/>
  <c r="AM283" i="7"/>
  <c r="U283" i="7"/>
  <c r="N283" i="7"/>
  <c r="N277" i="7"/>
  <c r="BN274" i="7"/>
  <c r="BJ274" i="7"/>
  <c r="BF274" i="7"/>
  <c r="AU273" i="7"/>
  <c r="AM273" i="7"/>
  <c r="BF271" i="7"/>
  <c r="U271" i="7"/>
  <c r="N271" i="7"/>
  <c r="AM260" i="7"/>
  <c r="U260" i="7"/>
  <c r="N260" i="7"/>
  <c r="AY256" i="7"/>
  <c r="AQ256" i="7"/>
  <c r="AQ254" i="7"/>
  <c r="N254" i="7"/>
  <c r="AY253" i="7"/>
  <c r="AQ252" i="7"/>
  <c r="BN251" i="7"/>
  <c r="BJ251" i="7"/>
  <c r="BF251" i="7"/>
  <c r="AQ250" i="7"/>
  <c r="BF248" i="7"/>
  <c r="AY248" i="7"/>
  <c r="AQ248" i="7"/>
  <c r="U248" i="7"/>
  <c r="N248" i="7"/>
  <c r="AM236" i="7"/>
  <c r="U236" i="7"/>
  <c r="N236" i="7"/>
  <c r="N230" i="7"/>
  <c r="BN227" i="7"/>
  <c r="BJ227" i="7"/>
  <c r="BF227" i="7"/>
  <c r="BF224" i="7"/>
  <c r="AN224" i="7"/>
  <c r="U224" i="7"/>
  <c r="N224" i="7"/>
  <c r="AM212" i="7"/>
  <c r="U212" i="7"/>
  <c r="N212" i="7"/>
  <c r="N206" i="7"/>
  <c r="BN203" i="7"/>
  <c r="BJ203" i="7"/>
  <c r="BF203" i="7"/>
  <c r="AU203" i="7"/>
  <c r="AM203" i="7"/>
  <c r="BF200" i="7"/>
  <c r="U200" i="7"/>
  <c r="N200" i="7"/>
  <c r="AM188" i="7"/>
  <c r="U188" i="7"/>
  <c r="N188" i="7"/>
  <c r="N182" i="7"/>
  <c r="AU179" i="7"/>
  <c r="AQ179" i="7"/>
  <c r="AM179" i="7"/>
  <c r="AM176" i="7"/>
  <c r="U176" i="7"/>
  <c r="N176" i="7"/>
  <c r="AM164" i="7"/>
  <c r="U164" i="7"/>
  <c r="N164" i="7"/>
  <c r="AK159" i="7"/>
  <c r="AC159" i="7"/>
  <c r="U159" i="7"/>
  <c r="N158" i="7"/>
  <c r="BA153" i="7"/>
  <c r="AS153" i="7"/>
  <c r="AK153" i="7"/>
  <c r="AC153" i="7"/>
  <c r="U153" i="7"/>
  <c r="AC147" i="7"/>
  <c r="U147" i="7"/>
  <c r="BX142" i="7"/>
  <c r="BN142" i="7"/>
  <c r="BJ142" i="7"/>
  <c r="BF142" i="7"/>
  <c r="U141" i="7"/>
  <c r="BF139" i="7"/>
  <c r="AM139" i="7"/>
  <c r="N139" i="7"/>
  <c r="AM127" i="7"/>
  <c r="U127" i="7"/>
  <c r="N127" i="7"/>
  <c r="AY122" i="7"/>
  <c r="AS122" i="7"/>
  <c r="AM122" i="7"/>
  <c r="U122" i="7"/>
  <c r="N119" i="7"/>
  <c r="U117" i="7"/>
  <c r="BN113" i="7"/>
  <c r="BJ113" i="7"/>
  <c r="BF113" i="7"/>
  <c r="U112" i="7"/>
  <c r="N112" i="7"/>
  <c r="BF110" i="7"/>
  <c r="AM110" i="7"/>
  <c r="AM98" i="7"/>
  <c r="U98" i="7"/>
  <c r="N98" i="7"/>
  <c r="AC93" i="7"/>
  <c r="U93" i="7"/>
  <c r="N92" i="7"/>
  <c r="BN89" i="7"/>
  <c r="BJ89" i="7"/>
  <c r="BF89" i="7"/>
  <c r="AC88" i="7"/>
  <c r="U88" i="7"/>
  <c r="BF86" i="7"/>
  <c r="AM86" i="7"/>
  <c r="N86" i="7"/>
  <c r="AM74" i="7"/>
  <c r="U74" i="7"/>
  <c r="N74" i="7"/>
  <c r="N68" i="7"/>
  <c r="BN65" i="7"/>
  <c r="BJ65" i="7"/>
  <c r="BF65" i="7"/>
  <c r="AU65" i="7"/>
  <c r="AM65" i="7"/>
  <c r="BF62" i="7"/>
  <c r="U62" i="7"/>
  <c r="N62" i="7"/>
  <c r="AM51" i="7"/>
  <c r="U51" i="7"/>
  <c r="N51" i="7"/>
  <c r="AM47" i="7"/>
  <c r="AM46" i="7"/>
  <c r="AM45" i="7"/>
  <c r="AM44" i="7"/>
  <c r="N44" i="7"/>
  <c r="AM43" i="7"/>
  <c r="AM42" i="7"/>
  <c r="BN39" i="7"/>
  <c r="BJ39" i="7"/>
  <c r="BF39" i="7"/>
  <c r="AU38" i="7"/>
  <c r="AM38" i="7"/>
  <c r="BF36" i="7"/>
  <c r="U36" i="7"/>
  <c r="N36" i="7"/>
  <c r="BB24" i="7"/>
  <c r="AT24" i="7"/>
  <c r="AM24" i="7"/>
  <c r="AF24" i="7"/>
  <c r="Y24" i="7"/>
  <c r="R24" i="7"/>
  <c r="K24" i="7"/>
  <c r="D24" i="7"/>
  <c r="BG11" i="7"/>
  <c r="AO11" i="7"/>
  <c r="U11" i="7"/>
  <c r="C11" i="7"/>
  <c r="D296" i="6" l="1"/>
  <c r="AM283" i="6"/>
  <c r="U283" i="6"/>
  <c r="N283" i="6"/>
  <c r="N277" i="6"/>
  <c r="BN274" i="6"/>
  <c r="BJ274" i="6"/>
  <c r="BF274" i="6"/>
  <c r="AU273" i="6"/>
  <c r="AM273" i="6"/>
  <c r="BF271" i="6"/>
  <c r="U271" i="6"/>
  <c r="N271" i="6"/>
  <c r="AM260" i="6"/>
  <c r="U260" i="6"/>
  <c r="N260" i="6"/>
  <c r="AY256" i="6"/>
  <c r="AQ256" i="6"/>
  <c r="AQ254" i="6"/>
  <c r="N254" i="6"/>
  <c r="AY253" i="6"/>
  <c r="AQ252" i="6"/>
  <c r="BN251" i="6"/>
  <c r="BJ251" i="6"/>
  <c r="BF251" i="6"/>
  <c r="AQ250" i="6"/>
  <c r="BF248" i="6"/>
  <c r="AY248" i="6"/>
  <c r="AQ248" i="6"/>
  <c r="U248" i="6"/>
  <c r="N248" i="6"/>
  <c r="AM236" i="6"/>
  <c r="U236" i="6"/>
  <c r="N236" i="6"/>
  <c r="N230" i="6"/>
  <c r="BN227" i="6"/>
  <c r="BJ227" i="6"/>
  <c r="BF227" i="6"/>
  <c r="BF224" i="6"/>
  <c r="AN224" i="6"/>
  <c r="U224" i="6"/>
  <c r="N224" i="6"/>
  <c r="AM212" i="6"/>
  <c r="U212" i="6"/>
  <c r="N212" i="6"/>
  <c r="N206" i="6"/>
  <c r="BN203" i="6"/>
  <c r="BJ203" i="6"/>
  <c r="BF203" i="6"/>
  <c r="AU203" i="6"/>
  <c r="AM203" i="6"/>
  <c r="BF200" i="6"/>
  <c r="U200" i="6"/>
  <c r="N200" i="6"/>
  <c r="AM188" i="6"/>
  <c r="U188" i="6"/>
  <c r="N188" i="6"/>
  <c r="N182" i="6"/>
  <c r="AU179" i="6"/>
  <c r="AQ179" i="6"/>
  <c r="AM179" i="6"/>
  <c r="AM176" i="6"/>
  <c r="U176" i="6"/>
  <c r="N176" i="6"/>
  <c r="AM164" i="6"/>
  <c r="U164" i="6"/>
  <c r="N164" i="6"/>
  <c r="AK159" i="6"/>
  <c r="AC159" i="6"/>
  <c r="U159" i="6"/>
  <c r="N158" i="6"/>
  <c r="BA153" i="6"/>
  <c r="AS153" i="6"/>
  <c r="AK153" i="6"/>
  <c r="AC153" i="6"/>
  <c r="U153" i="6"/>
  <c r="AC147" i="6"/>
  <c r="U147" i="6"/>
  <c r="BX142" i="6"/>
  <c r="BN142" i="6"/>
  <c r="BJ142" i="6"/>
  <c r="BF142" i="6"/>
  <c r="U141" i="6"/>
  <c r="BF139" i="6"/>
  <c r="AM139" i="6"/>
  <c r="N139" i="6"/>
  <c r="AM127" i="6"/>
  <c r="U127" i="6"/>
  <c r="N127" i="6"/>
  <c r="AY122" i="6"/>
  <c r="AS122" i="6"/>
  <c r="AM122" i="6"/>
  <c r="U122" i="6"/>
  <c r="N119" i="6"/>
  <c r="U117" i="6"/>
  <c r="BN113" i="6"/>
  <c r="BJ113" i="6"/>
  <c r="BF113" i="6"/>
  <c r="U112" i="6"/>
  <c r="N112" i="6"/>
  <c r="BF110" i="6"/>
  <c r="AM110" i="6"/>
  <c r="AM98" i="6"/>
  <c r="U98" i="6"/>
  <c r="N98" i="6"/>
  <c r="AC93" i="6"/>
  <c r="U93" i="6"/>
  <c r="N92" i="6"/>
  <c r="BN89" i="6"/>
  <c r="BJ89" i="6"/>
  <c r="BF89" i="6"/>
  <c r="AC88" i="6"/>
  <c r="U88" i="6"/>
  <c r="BF86" i="6"/>
  <c r="AM86" i="6"/>
  <c r="N86" i="6"/>
  <c r="AM74" i="6"/>
  <c r="U74" i="6"/>
  <c r="N74" i="6"/>
  <c r="N68" i="6"/>
  <c r="BN65" i="6"/>
  <c r="BJ65" i="6"/>
  <c r="BF65" i="6"/>
  <c r="AU65" i="6"/>
  <c r="AM65" i="6"/>
  <c r="BF62" i="6"/>
  <c r="U62" i="6"/>
  <c r="N62" i="6"/>
  <c r="AM51" i="6"/>
  <c r="U51" i="6"/>
  <c r="N51" i="6"/>
  <c r="AM47" i="6"/>
  <c r="AM46" i="6"/>
  <c r="AM45" i="6"/>
  <c r="AM44" i="6"/>
  <c r="N44" i="6"/>
  <c r="AM43" i="6"/>
  <c r="AM42" i="6"/>
  <c r="BN39" i="6"/>
  <c r="BJ39" i="6"/>
  <c r="BF39" i="6"/>
  <c r="AU38" i="6"/>
  <c r="AM38" i="6"/>
  <c r="BF36" i="6"/>
  <c r="U36" i="6"/>
  <c r="N36" i="6"/>
  <c r="BB24" i="6"/>
  <c r="AT24" i="6"/>
  <c r="AM24" i="6"/>
  <c r="AF24" i="6"/>
  <c r="Y24" i="6"/>
  <c r="R24" i="6"/>
  <c r="K24" i="6"/>
  <c r="D24" i="6"/>
  <c r="BG11" i="6"/>
  <c r="AO11" i="6"/>
  <c r="U11" i="6"/>
  <c r="C11" i="6"/>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<sst xmlns="http://schemas.openxmlformats.org/spreadsheetml/2006/main" count="2618" uniqueCount="85">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</sst>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22">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cellXfs>
  <cellStyles count="1">
    <cellStyle name="標準" xfId="0" builtinId="0"/>
  </cellStyles>
  <dxfs count="2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4.xml" />
  <Relationship Id="rId26" Type="http://schemas.openxmlformats.org/officeDocument/2006/relationships/externalLink" Target="externalLinks/externalLink12.xml" />
  <Relationship Id="rId3" Type="http://schemas.openxmlformats.org/officeDocument/2006/relationships/worksheet" Target="worksheets/sheet3.xml" />
  <Relationship Id="rId21" Type="http://schemas.openxmlformats.org/officeDocument/2006/relationships/externalLink" Target="externalLinks/externalLink7.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externalLink" Target="externalLinks/externalLink3.xml" />
  <Relationship Id="rId25" Type="http://schemas.openxmlformats.org/officeDocument/2006/relationships/externalLink" Target="externalLinks/externalLink11.xml" />
  <Relationship Id="rId2" Type="http://schemas.openxmlformats.org/officeDocument/2006/relationships/worksheet" Target="worksheets/sheet2.xml" />
  <Relationship Id="rId16" Type="http://schemas.openxmlformats.org/officeDocument/2006/relationships/externalLink" Target="externalLinks/externalLink2.xml" />
  <Relationship Id="rId20" Type="http://schemas.openxmlformats.org/officeDocument/2006/relationships/externalLink" Target="externalLinks/externalLink6.xml" />
  <Relationship Id="rId29"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externalLink" Target="externalLinks/externalLink10.xml" />
  <Relationship Id="rId32" Type="http://schemas.openxmlformats.org/officeDocument/2006/relationships/calcChain" Target="calcChain.xml" />
  <Relationship Id="rId5" Type="http://schemas.openxmlformats.org/officeDocument/2006/relationships/worksheet" Target="worksheets/sheet5.xml" />
  <Relationship Id="rId15" Type="http://schemas.openxmlformats.org/officeDocument/2006/relationships/externalLink" Target="externalLinks/externalLink1.xml" />
  <Relationship Id="rId23" Type="http://schemas.openxmlformats.org/officeDocument/2006/relationships/externalLink" Target="externalLinks/externalLink9.xml" />
  <Relationship Id="rId28" Type="http://schemas.openxmlformats.org/officeDocument/2006/relationships/externalLink" Target="externalLinks/externalLink14.xml" />
  <Relationship Id="rId10" Type="http://schemas.openxmlformats.org/officeDocument/2006/relationships/worksheet" Target="worksheets/sheet10.xml" />
  <Relationship Id="rId19" Type="http://schemas.openxmlformats.org/officeDocument/2006/relationships/externalLink" Target="externalLinks/externalLink5.xml" />
  <Relationship Id="rId31"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externalLink" Target="externalLinks/externalLink8.xml" />
  <Relationship Id="rId27" Type="http://schemas.openxmlformats.org/officeDocument/2006/relationships/externalLink" Target="externalLinks/externalLink13.xml" />
  <Relationship Id="rId30"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FC81D19-589A-4826-A18E-7CB0930C79B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60474D3-06E3-4748-B2DC-99C48E786E3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F0F508E-DBDC-4720-A68E-D243E36EAD1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AB06084-B151-40EF-B420-013AB124D29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C512C80-9409-427C-9743-2FEC98B9CD8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D4BC891-5DBC-4EF9-A248-537ED71877A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8A12F6A-A041-4F42-8B9F-48F604D13438}"/>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2FFA6DAE-48F4-4AC7-A397-C664227B854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E39B924C-01D8-42CC-9E6D-21BBD0B0B12B}"/>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16E92A7-CA0E-447E-9DB5-7FEB68AA526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D9EB62ED-93CE-4B74-A189-42058A2F9E18}"/>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BE023C38-9567-4909-AB1B-653BF0A5F0AE}"/>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190189F-A6BE-493A-8E9F-47BFBACDAC83}"/>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FDFC99C-64CF-4FC3-B1EC-AAE172B0390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369F489D-13AA-4DC1-ADDB-D8DC3E2930A5}"/>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F91BD6D-CCB0-4954-9F82-633AA90508A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A4521F50-7B75-4147-98E3-71AEE96D781E}"/>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FD21DB0F-64CB-470F-BD53-567629326B5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F7540CF-01D2-4E82-8170-C6813B2B33D9}"/>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A14BAD26-FA6E-432C-AB78-6C985E45F064}"/>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0598172-C4D9-4E1F-908D-E9CDA265069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FF60B5D0-C516-4BD5-A9FC-B825926A03E3}"/>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7529023-8AA4-4096-9ADE-78C14341B80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2D89AA2E-E0C2-4ED1-9B13-A3821F4A1AB0}"/>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EBB6FFF8-335B-4F13-A96B-EE8EF719682C}"/>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A086E06-A277-4C66-8925-DE9D0AA0443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8C5CE00-2CED-41AE-A8D5-919FF3ECD26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08F0C37-AC68-45B5-A168-16959EBE103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7328477-45E6-4EDF-9522-1508F3F1B878}"/>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711A9E76-6254-40A2-B824-BFC4E9D4176F}"/>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4C333E01-FD6A-465B-9D21-FED6B620FB4A}"/>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6F1C6313-3425-481A-8E03-601FC537466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70E9C16-AF0D-4F26-B080-694135F95F5F}"/>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3B9224FC-6584-4DD2-94E5-73C118630D7A}"/>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CD8BEF2-2B8B-4C46-B987-5533E9137341}"/>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92881342-D129-4EDE-A5F7-EA47B4770B9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E07635D8-A4AB-4DE1-BF36-16CF1AA07016}"/>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945274F-2EAE-433E-8E17-984D50D0B320}"/>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6F834CA6-24C6-4D37-BEDD-DD5A80AAE7C9}"/>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D25AFFF9-0BB5-4FB2-88DF-72A3586D9CF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E1D7B477-4F0A-4CFA-9836-6189B511776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8291E27-20A2-4D2F-B2AD-982A24DA11A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A1B59D55-870D-403F-875B-9171383A41C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2846CF6-86AC-4676-98E8-3F6687B6179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F2007CFD-02CA-4C8B-A910-4402A8E12508}"/>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690360D5-AD9D-4F17-B733-89BA8D3B2B0C}"/>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D7D45B2-2372-417C-9652-C4B07ED97FF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6F47F8DD-6B95-416A-8977-12BE4ACC701F}"/>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0511A80D-65D1-48C9-8CE4-198FA10CAE62}"/>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A322063-9701-4D62-9B66-8A41308BF26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FE88475-1F7C-4451-A73C-61E00C896EB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1D18709-DBAE-4101-8D75-BD8C455DA01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4EDA383-06E8-47EB-8EBE-E2C024FD847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E4812DB-A963-44CB-BE1D-FCB4ECF4D259}"/>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219244D-D48A-4618-98D8-6FEFB6AB6CE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2F4C628C-7D29-4F6B-98D1-1F0149B676E8}"/>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1149780-37CA-49D8-A722-AE247D9BC0B3}"/>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86C79F9F-E753-47A8-8348-2A7F98278626}"/>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3AD50C95-02F2-44D8-9706-D855CB56ACBC}"/>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A00ACF0D-7AE0-4DF2-9F0B-DBEA63E1E05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9EC2B96A-A45C-41D4-9773-1625CD92C248}"/>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E27312DF-5768-46DA-B56B-70824BA464CE}"/>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E4E87169-FECC-4B4A-BC2C-96B0C3B22985}"/>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F83F6B39-233D-4CA4-9C45-1F36DC1217F6}"/>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C3A9852E-904E-4DF3-95B2-99C0CF9202A6}"/>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CEF1E8D3-619A-44DD-9101-B50044DA776C}"/>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89ADF87-2BBC-47AE-A373-7922907EF631}"/>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3C79703-AE95-47A4-8C05-0CBE4322E2E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C0D5C15-6687-4651-AFFA-7BE853EC6203}"/>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2861C101-65CB-42FD-B1EB-AB61E1B37CE1}"/>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E0BF2837-EADA-4111-BF31-B4A09CDEAB0B}"/>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BA8A3E9-0293-4C77-B5DE-4FAB7B302D5C}"/>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2451FC5F-4C72-466A-A4A3-F2D4B49F94F2}"/>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FBAADF0-4870-4E27-A2E5-B95015A2A6FF}"/>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5046FDFA-AE16-48D5-AFD7-CDFFB66909D0}"/>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4231E16-6836-44E4-8462-4FF4DFA17AF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7B4A405-3F18-4C54-AB75-05F79B3CEA9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F50AB6E-7F98-45A1-AE8A-1C141034DF3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63D9EEE0-D7FE-4E86-AEF7-5302CD3BB7E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7232E2D-8E3B-460F-AF81-28C34A43076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045D7C3-341C-4035-BA37-E206D1BCD17C}"/>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6888F75C-2374-4A3E-8EF9-135C3C7C875A}"/>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0D1FEE9-82BC-488A-A440-A385377F60C0}"/>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ED6F9DCD-5B18-4A74-A737-B91EE12AA74D}"/>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827F7946-FAE9-4FEF-BF32-E6E5F84F8EB6}"/>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3E7FC75B-026E-4940-81CE-413330C0FA7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C962522-5F6A-4715-B106-6E5781E9B26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C2971B3-E7FE-4A2E-8595-93AE2AE50D8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E0EC395D-A9DB-4E40-A03B-8E7FB58AD91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C6BD5D60-F4A8-42EA-A4E3-FA4124A9F006}"/>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E78647DC-29D6-4889-B0D0-6E47485D0BA2}"/>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27FD2C59-579C-4A14-8E32-2F638FBF817A}"/>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9957739E-3D2C-4517-AF6B-8DDB6229DD6C}"/>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BEE86A5-D7DF-4324-AFE7-C48202F8AFD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67E79173-511B-4E5F-8286-88228A30ECB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1EC9A22A-346F-40DF-83CB-4E0086652F73}"/>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C8F44A20-A2B1-4FA6-9007-D830485AC25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778767E-0223-40B1-8A73-A7EC2BC2DE69}"/>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17B94ABE-53FD-4F06-92F3-C2EC10A35C1D}"/>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75D793E5-454F-4A5C-ACF7-6E108AEC24DE}"/>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F7763C8-A627-4B92-9645-E54F00CFE4E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14AB070-A562-4963-8DA7-DF60E55AC1B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BD51A38-5435-492C-B0FE-51840CE0D45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DF5501F-C5BB-4A7C-AA1D-2B4BA8276938}"/>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12277CD8-10E0-45BF-9FA9-938C7804659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BFA8E50E-2BF7-4F9D-8BF2-D383B74F5900}"/>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1B62D3FA-50F2-4B0C-A548-5531D4392E7B}"/>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FDD105F4-FC6F-4E55-88C0-EB3ADEBC2C5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6898C2B6-A39A-40D0-AACD-084E83C290AD}"/>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F6F62B0-CA9E-46D8-ABB7-757F78BD9341}"/>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E3D35B6-5541-46B3-AD8D-28E5E2E59DC3}"/>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A962C2C2-46A6-4845-A423-6BAA48820F0A}"/>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E08A383-469B-4203-A624-26FFC181203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6C21BA5-686E-445A-A098-772E22A35FE8}"/>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6A6F31D3-5A4B-4404-9DDA-B09FB842B59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CFA228B3-41FB-4F20-8F73-CF8DDCB6355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0BFEFD8E-4447-42A0-9080-0303F166A2CA}"/>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76C9C8B6-506E-4C8F-AE24-F7B24E85BB6D}"/>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0659E108-17B2-4D41-B731-7A62BCB08E81}"/>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7927E55-5500-44DE-AD72-6E954E2B7D0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AB561D4-E099-4348-9B2C-C2F0A51E1B74}"/>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26F08CC4-E1EB-46E6-A21B-E1920852588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09912649-78B5-4A39-8439-7708E0872BF5}"/>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1338F0D-8624-4699-81F6-87A4BE307D76}"/>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8D8DF9E9-16E0-467E-A387-00A428265A5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2620BF3-FBDA-4FD2-B4E3-5E642BAD187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42D289F-48B6-4307-A586-FCC157284E4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3AD5684-9DDB-443B-9172-F862FECD7CA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EFA3E57-21CD-4A18-B440-0AE2D40521BB}"/>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49B41C6-E954-4B56-AF51-935B66CA84E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4571432C-E301-4B2D-936B-C6F82DF06B5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C3863B8D-D3C0-417A-B531-912A10066BF6}"/>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EF861285-8C67-4582-AD9A-A6188BDF30A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FB216A49-7495-4FCE-8DBB-536B34186386}"/>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B6BA878B-5637-465E-B501-8090B717EEA7}"/>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617079D-CE3C-400D-AC26-EB8A859F9DB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7A604B7-885E-4200-A3F4-F35442C697C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ECCDE583-56A8-46C2-8FD1-50F8231C129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E7B30A2C-89B3-483A-9EC0-2FF80541EDC1}"/>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A8E80BB3-8800-4F21-8D49-010C71ADFF3F}"/>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11EBE13-1510-44CA-8565-855A060FC025}"/>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1D5D907-717A-45C3-9587-E93751E9FE11}"/>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9B091DC-C310-46CB-A1F9-2B12E8294FD5}"/>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B695E7DD-4E34-493D-8299-E42BBD0089A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37C0E51B-EC12-47F3-AB6B-C811158AC323}"/>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D60B1C7-7022-49EA-ACF1-E26DC3DEDD38}"/>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76625B75-E724-4D11-9B44-AFBBA9184410}"/>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EC056A9D-2589-4AF6-8B7F-379A904BF59C}"/>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37F4FEB-63AB-41C9-8A12-EC14266E4ADD}"/>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BD0E2B2-88F2-43C6-A86B-C9214D485D67}"/>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47555A7-B552-4EE7-AA5A-B6DDBF26516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279C3D4-9C39-4EE3-B2F9-76B3E8841F1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B902D2D-B33A-4AA4-ABFC-0E12909B8D2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6FE2A54-0853-428B-B25E-CC4DA6B03C2E}"/>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9307CAC3-0F77-4A2A-8FA5-A190A91BB853}"/>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856D40E-BA89-49BF-B169-748306D71121}"/>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43CAFB51-DD5D-49CE-82C3-2BE67C53D59E}"/>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1A76BD6-1AC6-480B-858D-15E1CAC68F6D}"/>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F5FC2519-BFCE-484C-B449-BC0D84F7EC6D}"/>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71CB3126-820A-4526-9DC7-CA81C2838742}"/>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4FC82E52-0D94-47E3-9461-86E1664BA36E}"/>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94F8800C-71FD-4B4D-9602-9DBD42744C7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EC7E5F9-97E3-42B8-8E61-2FAB979F40F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B198F71-FA64-4C88-9C34-D69CF483741A}"/>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8E3050AF-0FE8-4E09-90EC-542DF24F2B93}"/>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7DC588F7-6FFB-4A87-B330-1402D721630B}"/>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F06202F6-C428-484E-A27F-03846CAB39E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F63AAEB-F8BF-4552-AE7D-CB5A8D09ABCF}"/>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5CCFEABC-E1FF-4853-838A-5A8A1FB028F9}"/>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7BEE78C-2B3C-4040-BA48-5914E12B63BA}"/>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00241CF5-9188-40A0-9D09-0E0C19272E43}"/>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58135DB-A2E2-4DF1-B3D1-26854D15BC7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39F1B1DB-1B96-47C3-AFCA-55B62A917FE9}"/>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0722FC95-F6B3-4A45-8A4E-70FD81232B5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85812840-F7ED-4EEE-8828-5B552B3B7D59}"/>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8A009CD-4B65-432E-B695-5CCFBD94EAE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5449FB6-CF17-4DBF-8DF3-9D7410EA4D1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6DDD653-5A30-42EE-BBD3-397070351EC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6D6D87B1-0586-416D-ACC7-8A899DB8F958}"/>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F0B6AE8-6508-4565-B159-C1407B8C55E5}"/>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1C16922B-9FA0-438C-AE3E-82CB3F0B81A1}"/>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AD2BA1A1-008B-4DF9-9E47-A9BFFA0D4E43}"/>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5CAE40E-61B0-49A3-AD40-9CA7EC451C7A}"/>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6DCCDAE2-7126-42F6-81F2-22901E584C2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B4B5267F-669F-4DCE-BFC4-58B2EF4B18C9}"/>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734F2E19-9CD8-4498-8690-5AAA47AEFB4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726BFD24-459A-4B84-9BDA-7E419211FE9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D98B6137-2F56-4368-89E0-C559B661E87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B580561F-93D6-48B8-BCE0-982573A59FB5}"/>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74A490E9-2438-4E2E-A332-33D8BDCA0EE2}"/>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74A81CBC-A4DA-44DC-8C9E-A0F4958F2DFE}"/>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75CB577-7664-4638-9B8E-A01D958A7AC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1BD829F8-1ABD-4BFB-9DF2-D187E5BBB459}"/>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728B3038-B27B-4B8E-9C43-49D3152935C5}"/>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356533DD-41F1-410B-92D9-F8C09426CC5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54AB8B6-9BF1-4B2D-A522-1FB235D14F52}"/>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25CA73F-ECC2-43AA-93B1-639D97C0789C}"/>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5C1C7B9B-765E-45D7-847B-95924763AB40}"/>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EE07168B-8B58-4205-B94C-CE7D85207496}"/>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0724BB6-A844-4A4D-A2EE-4DB9B68ECB3D}"/>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00E549D-BEA9-4ED5-9A65-51CF00B632E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85035CF-82C3-40E2-8481-1D44ACF379A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3A0BEA5-244D-4A88-B9AC-FBC8974B167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8909BBA-6920-42F6-80BF-3E0EA27A3150}"/>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84A08AA2-4CAD-407A-BA73-A4BC721A6EB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EEC905F-AAB6-48A4-9D7F-3454535333C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17D133AA-4333-4976-A1BF-79DC95787F08}"/>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4056383E-E7F7-4C75-BCC4-EA0716EBB7D6}"/>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BA39097E-7A64-4F6D-9578-AB7FB2EA6BD9}"/>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6FE37546-4989-467E-A58B-3558DB429DC1}"/>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54CF31C7-681A-4C1B-AF41-9536022C8727}"/>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627BA75-309B-463B-A6FA-A76C0FC5C0F9}"/>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A03C0A65-7ACF-4488-8374-8AF5BA4CB6D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C43FDB2-BB78-4B8A-A5E4-2AE36E014915}"/>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6F8DC2C-851D-4151-84C6-BF649881DEEC}"/>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3A3BA05-4DCE-4BF2-83B6-EBEE92B45FA2}"/>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514AE8F5-3893-44D9-AA77-ABF41BCC6018}"/>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75B32314-21CA-4185-BB34-D30DAF234FF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A3E5479C-5CED-4DC1-B9B3-7A7A716D7114}"/>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7A1B7E6F-27FD-48D0-A7B2-B7A657F58B9A}"/>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E7E97B48-B8D4-48DC-AF4A-D5FBAA744FA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55A408BA-A0BF-48CD-B77A-A3AA05B91D75}"/>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FEBF78F3-D934-43B7-9A29-911546FEC1AF}"/>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10302D6F-F0A9-44FF-B1C3-CB7948B3F5D6}"/>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769EFC19-AC90-4D70-89BE-E99D46E525FE}"/>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B8282C7-1FF8-4CF3-9735-44E21F1829B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18FB56C-B278-4D9A-BEC1-5E0AF044BE5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94ED502-9662-4E1F-ADD1-352D49666D8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40D2C6A-5775-4C8E-AF30-A4158EE2AD23}"/>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112A442-EC17-42A4-ACE0-3F971624FD2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8D2752F-308D-4D0F-97DC-E4525D2C5AC1}"/>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751068FC-136A-4DBF-8857-9A893A6C05AC}"/>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82CE993-1333-4D8B-8760-92B54A5DA8E1}"/>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7F3A95D-3D2D-4E1E-9C5E-549EC0FDD67A}"/>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4A2BCB1-111E-4333-B4C7-21103D478D2F}"/>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765510F7-A91A-4203-A43E-80F1C45565D8}"/>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BFDE9DB-22CE-4F3F-9487-7FA950B2B02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7B149D9B-1DD1-43BF-9BF0-A93A530FF3B8}"/>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093E8F6D-E805-4CE2-B0DC-6070A3B5E04D}"/>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347D0D77-8BF8-461C-8C86-C041D4604306}"/>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09D55AD2-3FB0-422E-8E0C-D765B030341C}"/>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7324458E-CA35-4B21-8F0E-6FA3CB4D00EA}"/>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F24C85C5-713E-4CCA-9635-010E9FBC56FE}"/>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C265F8FF-443F-42B8-9262-4E2139905C0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0595290-67B9-40C1-99B1-10089CBE398D}"/>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B9585F3-389A-4BBA-8E1C-7C45ECA53462}"/>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0542EB42-3698-4FAC-AFD7-2870B2BE9E45}"/>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BBF6780E-FB76-4FF9-8FA2-77F1C190EEA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12414B67-58E4-43F2-90C0-21F96560AF40}"/>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A4C9357-1321-4996-97C2-DA84DC5D7B14}"/>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1E5DDD4-B16D-4666-B048-2A578AA2F00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826AC91-A19E-4B34-AA22-4925B543C15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A89C4E1-A569-4413-88D9-4DF3566A61B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65DCD77-4CA8-4B7A-BC55-ED25B3C1E86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4A39C5F-CB56-4770-A215-39BC8258C9E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07A1617-7D1E-4DEB-BB07-4CD6E8CB289E}"/>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C93F7D47-6A80-4E5B-B341-4D92BB40FA5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FE8CC230-350F-49E8-97C0-7A256EAEA44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610952D4-B683-4203-9A5A-FD4DCC960F1C}"/>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263A487-AAA3-491D-A84C-7A41AE8C85F1}"/>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EEBB8C4C-48B6-4927-8F98-3D79A1B2C647}"/>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9068B9D-5CFD-4046-A15A-7BCA797C1C92}"/>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9312B3F-4BA3-4C9A-8D1C-535ABF12F443}"/>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80C6738-CCF8-4815-9A76-1AEA6941A147}"/>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278E8894-40FC-4E97-AD47-ACDCF1D52396}"/>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3D8C2B9-6AE8-4CCA-981F-370A42600B5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B321A7D-C29A-4345-ABAF-F8200FCBC67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853D678A-6F7A-46F2-9635-9B76900E2679}"/>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2768D1F0-C683-4C82-BEC6-3718D85543ED}"/>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2B7881A-44B5-4256-86F7-69FD3AE0D6F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DAC5333F-AFD5-424B-A056-140D7C9506C9}"/>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920E8E01-7E92-4B68-8660-C3DC54274071}"/>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8990B918-8517-44EF-9AF8-E09CC1BEEB0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9300646-F11E-4059-BB9F-E17A5637D7C3}"/>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9FFA8A04-13E7-4BF7-8EB3-2C928D482B4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21D61A0-779F-4FCC-B27C-EED65A66921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38DFECC-E477-48C0-8E60-8B92323B147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964EDB5-EBF9-4BDE-8F0F-04CA488CC02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C741532-C008-4997-A730-AD7DE8934D51}"/>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6F95818-6D49-43B3-9C7E-612E991E15C3}"/>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D78C36F-8657-4B07-A2E3-670B63A34FEE}"/>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97EB218-0F60-4603-BFAE-2C4C38197C06}"/>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1BCAD353-7422-4AA9-9527-5DA542A817F2}"/>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4D967CE3-D486-4BB6-AA30-D1678A23B727}"/>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F5FF74EF-8054-4785-BF9B-E09AF3D79FD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E3708F41-01FB-4E18-8070-F21099DD7BC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FEFBCA4-9BC7-43DA-8419-9A321165573A}"/>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4BF5FB49-839A-4BA3-B259-F3B1E8B1B9BB}"/>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6619AC9-3522-4AAB-A5CF-64F4E4FD72B8}"/>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0F42B1B7-195B-44E5-A810-F63A6171E350}"/>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00A63E20-317F-4FD8-A59E-B3BAB297FC6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5662362E-471E-4206-82DA-C36B903E7D71}"/>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40893363-8905-452A-83B3-85633156AE25}"/>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7839122-4C94-4EF2-88C3-214816017E7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C9B2D62-18DC-41D9-B7DD-7D52961E5251}"/>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B90098A-19AB-4108-A46B-8ED25FB8737C}"/>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944D7000-426A-47B0-BFF3-98725DC393D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94C57DC5-BC05-420E-9DBC-2F01FAC2895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52B9429-22BF-469B-A3B4-6DF1A456D38A}"/>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4DE82885-FE2F-461F-8F9C-BC7EB6E599B0}"/>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13FEB54-350E-41B9-905B-4E791A3FCF0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18B9049-66F8-4EDE-810A-A78290352AF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80342D8-85FA-4356-9860-D883DCEB022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20D6E1D2-5F38-4343-B7AF-C91A940B2C20}"/>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906BE57-677B-486C-9761-0AA84AF4115F}"/>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C855D80A-7B87-4927-A7B9-2483A8A145EB}"/>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329065D5-384F-4F80-886B-AD06B6D0A328}"/>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49A13C3-CA36-44C9-A7E9-EEF3DC686DD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F5F5BFB3-C336-4C65-A7D0-1D7EA4C6B187}"/>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C5DFF1A-D343-416C-90C1-8F5446E89C53}"/>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C4E16EE5-30AB-4AC0-88DD-A12EF75EAD45}"/>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61025C7-8AE4-4585-B1B0-1794327A0D4D}"/>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1B29718E-28E9-4449-926B-C2F3C4CBDE8A}"/>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C7FA3F8-DC96-4715-80E9-A677DAB1B3E2}"/>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C546F5A-5010-4074-83B4-067E749F8151}"/>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FB5D757-1225-499A-B49D-A5703012ACF2}"/>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BEA11E70-65B1-4F68-8EB3-4443D7BC766A}"/>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EDBAB280-9F2D-4CDC-8418-9E6C637BDE7B}"/>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EFC8636A-9E01-44E7-86FB-98B1F1D53555}"/>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2DB90A57-A324-4DC5-9BA0-B8FBC60D9EAE}"/>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2FCB64A-8912-4AAF-8068-C26CFE530A40}"/>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7FFBA98F-F685-465E-A03F-CBD1D9235C3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05D49B83-9DC2-418B-A462-35DE9E94FF19}"/>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A5A883DF-CADA-44AE-8BDC-91AA0933E9FA}"/>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D7075D75-9A37-42F9-A94F-4EFC81D84761}"/>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264DA26-2528-4B3C-B55C-E8E72CD1E94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BA944C0-660E-494B-AF2C-C885D96B063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34A36A6-E0A2-460E-A80B-FDFC423D1C2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2B6DDB2-9F5C-400B-B2E3-E7EA0427C909}"/>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9BFDF31-4921-4131-8AEB-065917EA4533}"/>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24D5210B-CB89-495B-BABD-689805699B90}"/>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989D952E-1A0A-4B13-810D-8D42F42757AD}"/>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E20FD398-3310-4509-A62F-82E67FA37CDE}"/>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A6F52142-656F-439B-8A8E-40EC24290FC6}"/>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7F5E8AF-1332-4944-B9AF-C77351D0E8A8}"/>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2F03623D-B3F7-4743-9133-A15383CFB901}"/>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88791C6A-FF7B-441C-A59F-510AC4849E7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47577A6C-1672-4885-8ED4-4426C6422C40}"/>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070DBB15-ACE6-4DC2-A43D-9B4D06CC2A8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B4F8490D-88AB-4B44-B395-B41845F299A6}"/>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6C165CEA-3E0F-439A-A5C8-984A68A96C1F}"/>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F5F482E1-5781-40AA-96F9-0D864AD5B7A1}"/>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4E9B1C9F-6690-4E6C-BA97-85C1022F4ECD}"/>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A8430642-48EB-4A45-B142-8AB4CDE8F32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FADD820A-7220-4263-AAE0-64548709B75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26F704B0-FD8A-411C-B9CA-A08B526F1F7E}"/>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903467D-7C9C-44B7-8BE8-AF8142C3B8B9}"/>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689ADB5-FB66-459D-AEEC-0F4230193BEF}"/>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A52A6BC3-A131-4AC9-8A9B-42A171806E77}"/>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F7925AD-D4FD-465D-B012-0A44B1B7D335}"/>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0.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7.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8.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9.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 xml:space="preserve"> </v>
          </cell>
          <cell r="AD45" t="str">
            <v>●</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「水道事業の広域連携」作業部会、県南地区水道事業連携推進座談会への参加。</v>
          </cell>
        </row>
        <row r="295">
          <cell r="B295" t="str">
            <v>座談会を通じ、近隣市町村と意見交換中である。</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観光施設事業</v>
          </cell>
          <cell r="W17" t="str">
            <v>その他観光</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事業の規模が小さく、人員が少ない等の理由から抜本的な改革の検討に至らないため。</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介護サービス事業</v>
          </cell>
          <cell r="W17" t="str">
            <v>介護老人保健施設</v>
          </cell>
          <cell r="BD17" t="str">
            <v>●</v>
          </cell>
        </row>
        <row r="19">
          <cell r="F19" t="str">
            <v>介護保険特別会計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令和元年度中に今後の運営方針について「にしき園運営検討委員会」が開かれ、運営主体と運営形態についての検討がなされた。そのことを踏まえ、令和2年3月議会において、当面市で運営し、令和6年度からの県の第9期介護保険事業支援計画策定前までに再び検討するとの表明があった。</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介護サービス事業</v>
          </cell>
          <cell r="W17" t="str">
            <v>指定介護老人福祉施設</v>
          </cell>
          <cell r="BD17" t="str">
            <v>●</v>
          </cell>
        </row>
        <row r="19">
          <cell r="F19" t="str">
            <v>介護保険特別会計</v>
          </cell>
        </row>
        <row r="43">
          <cell r="R43" t="str">
            <v xml:space="preserve"> </v>
          </cell>
          <cell r="X43" t="str">
            <v xml:space="preserve"> </v>
          </cell>
          <cell r="AA43" t="str">
            <v xml:space="preserve"> </v>
          </cell>
          <cell r="AD43" t="str">
            <v xml:space="preserve"> </v>
          </cell>
        </row>
        <row r="44">
          <cell r="R44" t="str">
            <v>●</v>
          </cell>
          <cell r="X44" t="str">
            <v>●</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15">
          <cell r="B115" t="str">
            <v>市直営の特別養護老人ホーム桜苑を社会福祉法人に譲渡する。
（建物：無償譲渡、土地：無償譲渡）
　市の直接的な人員が不要となり、人件費等の財政負担が無くなった。</v>
          </cell>
        </row>
        <row r="121">
          <cell r="J121" t="str">
            <v>●</v>
          </cell>
          <cell r="S121" t="str">
            <v>平成</v>
          </cell>
          <cell r="V121">
            <v>23</v>
          </cell>
        </row>
        <row r="122">
          <cell r="J122" t="str">
            <v xml:space="preserve"> </v>
          </cell>
          <cell r="V122">
            <v>4</v>
          </cell>
        </row>
        <row r="123">
          <cell r="V123">
            <v>1</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介護サービス事業</v>
          </cell>
          <cell r="W17" t="str">
            <v>老人短期入所施設</v>
          </cell>
          <cell r="BD17" t="str">
            <v>●</v>
          </cell>
        </row>
        <row r="19">
          <cell r="F19" t="str">
            <v>介護保険特別会計</v>
          </cell>
        </row>
        <row r="43">
          <cell r="R43" t="str">
            <v xml:space="preserve"> </v>
          </cell>
          <cell r="X43" t="str">
            <v xml:space="preserve"> </v>
          </cell>
          <cell r="AA43" t="str">
            <v xml:space="preserve"> </v>
          </cell>
          <cell r="AD43" t="str">
            <v xml:space="preserve"> </v>
          </cell>
        </row>
        <row r="44">
          <cell r="R44" t="str">
            <v>●</v>
          </cell>
          <cell r="X44" t="str">
            <v>●</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15">
          <cell r="B115" t="str">
            <v>市直営の特別養護老人ホーム桜苑を社会福祉法人に譲渡する。
（建物：無償譲渡、土地：無償譲渡）
　市の直接的な人員が不要となり、人件費等の財政負担が無くなった。</v>
          </cell>
        </row>
        <row r="121">
          <cell r="J121" t="str">
            <v>●</v>
          </cell>
          <cell r="S121" t="str">
            <v>平成</v>
          </cell>
          <cell r="V121">
            <v>23</v>
          </cell>
        </row>
        <row r="122">
          <cell r="J122" t="str">
            <v xml:space="preserve"> </v>
          </cell>
          <cell r="V122">
            <v>4</v>
          </cell>
        </row>
        <row r="123">
          <cell r="V123">
            <v>1</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介護サービス事業</v>
          </cell>
          <cell r="W17" t="str">
            <v>老人デイサービスセンター</v>
          </cell>
          <cell r="BD17" t="str">
            <v>●</v>
          </cell>
        </row>
        <row r="19">
          <cell r="F19" t="str">
            <v>介護保険特別会計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　仙北市田沢湖デイサービスセンターの運営を指定管理者制度とし、社会福祉法人と管理運営に関する協定書を締結。（公募による選定）
　市から委託料を支払実施していたが、指定管理制度に移行したことで事業者が介護報酬と利用者負担収入で運営できることから、指定管理料０円で取り組んでいる。</v>
          </cell>
        </row>
        <row r="313">
          <cell r="G313" t="str">
            <v xml:space="preserve"> </v>
          </cell>
          <cell r="U313" t="str">
            <v>平成</v>
          </cell>
          <cell r="X313">
            <v>22</v>
          </cell>
        </row>
        <row r="314">
          <cell r="G314" t="str">
            <v>●</v>
          </cell>
          <cell r="X314">
            <v>7</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簡易水道事業</v>
          </cell>
          <cell r="W17" t="str">
            <v>―</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 xml:space="preserve">本市水道事業へと統合した。その効果として、建設改良費・維持管理費・人件費・施設数・職員数・料金等については、従前のままであまり変化はなく特段記載する事項はなかったが、法適用により公営企業会計となることで以前よりも見える化が図られた。																																	
																																	</v>
          </cell>
        </row>
        <row r="65">
          <cell r="G65" t="str">
            <v>●</v>
          </cell>
          <cell r="S65" t="str">
            <v>平成</v>
          </cell>
          <cell r="V65">
            <v>29</v>
          </cell>
        </row>
        <row r="66">
          <cell r="G66" t="str">
            <v xml:space="preserve"> </v>
          </cell>
          <cell r="V66">
            <v>3</v>
          </cell>
        </row>
        <row r="67">
          <cell r="V67">
            <v>31</v>
          </cell>
        </row>
        <row r="71">
          <cell r="O71" t="str">
            <v xml:space="preserve"> </v>
          </cell>
          <cell r="AG71" t="str">
            <v>●</v>
          </cell>
        </row>
        <row r="72">
          <cell r="O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病院事業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xml:space="preserve">　市立田沢湖病院及び市立角館総合病院は、令和元年度に外部専門機関による経営診断を実施しました。その中で、「指定管理者制度」、「一般地方独立行政法人（非公務員型）」、「民間移譲」の３つの形態・運営方法への変更について診断を行いました。診断では、それぞれメリット・デメリットを抽出した上で、次の提言がなされています。
○ 経営形態の変更については、十分な検証と議論が必要であり、多くの時間も要することから、慎重に検討しなければならない
○ 経営形態を変更する以前に、提案された改善方策等、早急に取り組むべき事項を優先し、経営形態の変更など中長期的に取り組むべきことは、将来的な検討項目の一つとして考えてはどうか
　これらの提言を踏まえた上で、経営改善ポテンシャルはあることから、まずは早急に取り組むべき事項について、両病院に設置した経営改善委員会で検討を行っているところです。
　また、地域医療構想において、地域における将来の医療需要や病院機能を議論する中で、両病院は重要な役割を担っているほか、本医療圏は都市部のように競合する病院がなく、カバーする面積が広いことなども現行の経営体制・手法を継続する理由となっています。仙北市病院事業としては、現行の経営体制・手法を継続するものの、両病院や近隣病院との連携強化を図り、自らの規模に応じた安定的な経営を確立することにより、市民に信頼される病院として今後も医療を提供していきたいと考えています。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民営化や民間活用等については、知見やノウハウの不足により検討まで至らなく、広域化については、地形的な問題等を抱えており、資本的な面でも今後の人口減少等から収入の減が見込まれている中での実施は現実的ではないと思われます。</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民営化や民間活用等については、知見やノウハウの不足により検討まで至らなく、広域化については、地形的な問題等を抱えており、資本的な面でも今後の人口減少等から収入の減が見込まれている中での実施は現実的ではないと思われます。</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 xml:space="preserve"> </v>
          </cell>
          <cell r="AD45" t="str">
            <v>●</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　西木町西明寺地区の処理施設の統合を検討中。</v>
          </cell>
        </row>
        <row r="295">
          <cell r="B295" t="str">
            <v>　処理施設の統廃合に係る資本費と経費回収率のバランスが課題となっている。</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下水道事業</v>
          </cell>
          <cell r="W17" t="str">
            <v>林業集落排水施設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民営化や民間活用等については、知見やノウハウの不足により検討まで至らなく、広域化については、地形的な問題等を抱えており、資本的な面でも今後の人口減少等から収入の減が見込まれている中での実施は現実的ではないと思われます。</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下水道事業</v>
          </cell>
          <cell r="W17" t="str">
            <v>特定地域排水処理施設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民営化や民間活用等については、知見やノウハウの不足により検討まで至らなく、広域化については、資本的な面でも今後の人口減少等から収入の減が見込まれている中での実施は現実的ではないと思われます。</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仙北市</v>
          </cell>
        </row>
        <row r="17">
          <cell r="F17" t="str">
            <v>下水道事業</v>
          </cell>
          <cell r="W17" t="str">
            <v>個別排水処理施設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民営化や民間活用等については、知見やノウハウの不足により検討まで至らなく、広域化については、資本的な面でも今後の人口減少等から収入の減が見込まれている中での実施は現実的ではないと思われます。</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4.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EDE03-0669-4428-BEB4-A9C7DB94C41C}">
  <sheetPr>
    <pageSetUpPr fitToPage="1"/>
  </sheetPr>
  <dimension ref="A1:CN315"/>
  <sheetViews>
    <sheetView showZeros="0" tabSelected="1" view="pageBreakPreview" zoomScale="60" zoomScaleNormal="55" workbookViewId="0">
      <selection activeCell="C8" sqref="C8:T1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仙北市</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8.75" customHeight="1" x14ac:dyDescent="0.4">
      <c r="C98" s="101"/>
      <c r="D98" s="194" t="s">
        <v>33</v>
      </c>
      <c r="E98" s="194"/>
      <c r="F98" s="194"/>
      <c r="G98" s="194"/>
      <c r="H98" s="194"/>
      <c r="I98" s="194"/>
      <c r="J98" s="194"/>
      <c r="K98" s="194"/>
      <c r="L98" s="194"/>
      <c r="M98" s="213"/>
      <c r="N98" s="130" t="str">
        <f>IF([1]回答表!F17="水道事業",IF([1]回答表!AD45="●","●",""),"")</f>
        <v>●</v>
      </c>
      <c r="O98" s="131"/>
      <c r="P98" s="131"/>
      <c r="Q98" s="132"/>
      <c r="R98" s="119"/>
      <c r="S98" s="119"/>
      <c r="T98" s="119"/>
      <c r="U98" s="313" t="str">
        <f>IF([1]回答表!F17="水道事業",IF([1]回答表!AD45="●",[1]回答表!B289,""),"")</f>
        <v>「水道事業の広域連携」作業部会、県南地区水道事業連携推進座談会への参加。</v>
      </c>
      <c r="V98" s="314"/>
      <c r="W98" s="314"/>
      <c r="X98" s="314"/>
      <c r="Y98" s="314"/>
      <c r="Z98" s="314"/>
      <c r="AA98" s="314"/>
      <c r="AB98" s="314"/>
      <c r="AC98" s="314"/>
      <c r="AD98" s="314"/>
      <c r="AE98" s="314"/>
      <c r="AF98" s="314"/>
      <c r="AG98" s="314"/>
      <c r="AH98" s="314"/>
      <c r="AI98" s="314"/>
      <c r="AJ98" s="315"/>
      <c r="AK98" s="183"/>
      <c r="AL98" s="183"/>
      <c r="AM98" s="133" t="str">
        <f>IF([1]回答表!F17="水道事業",IF([1]回答表!AD45="●",[1]回答表!B295,""),"")</f>
        <v>座談会を通じ、近隣市町村と意見交換中である。</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8.75" customHeight="1" x14ac:dyDescent="0.4">
      <c r="C99" s="101"/>
      <c r="D99" s="194"/>
      <c r="E99" s="194"/>
      <c r="F99" s="194"/>
      <c r="G99" s="194"/>
      <c r="H99" s="194"/>
      <c r="I99" s="194"/>
      <c r="J99" s="194"/>
      <c r="K99" s="194"/>
      <c r="L99" s="194"/>
      <c r="M99" s="213"/>
      <c r="N99" s="144"/>
      <c r="O99" s="145"/>
      <c r="P99" s="145"/>
      <c r="Q99" s="146"/>
      <c r="R99" s="119"/>
      <c r="S99" s="119"/>
      <c r="T99" s="119"/>
      <c r="U99" s="316"/>
      <c r="V99" s="317"/>
      <c r="W99" s="317"/>
      <c r="X99" s="317"/>
      <c r="Y99" s="317"/>
      <c r="Z99" s="317"/>
      <c r="AA99" s="317"/>
      <c r="AB99" s="317"/>
      <c r="AC99" s="317"/>
      <c r="AD99" s="317"/>
      <c r="AE99" s="317"/>
      <c r="AF99" s="317"/>
      <c r="AG99" s="317"/>
      <c r="AH99" s="317"/>
      <c r="AI99" s="317"/>
      <c r="AJ99" s="318"/>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8.75" customHeight="1" x14ac:dyDescent="0.4">
      <c r="C100" s="101"/>
      <c r="D100" s="194"/>
      <c r="E100" s="194"/>
      <c r="F100" s="194"/>
      <c r="G100" s="194"/>
      <c r="H100" s="194"/>
      <c r="I100" s="194"/>
      <c r="J100" s="194"/>
      <c r="K100" s="194"/>
      <c r="L100" s="194"/>
      <c r="M100" s="213"/>
      <c r="N100" s="144"/>
      <c r="O100" s="145"/>
      <c r="P100" s="145"/>
      <c r="Q100" s="146"/>
      <c r="R100" s="119"/>
      <c r="S100" s="119"/>
      <c r="T100" s="119"/>
      <c r="U100" s="316"/>
      <c r="V100" s="317"/>
      <c r="W100" s="317"/>
      <c r="X100" s="317"/>
      <c r="Y100" s="317"/>
      <c r="Z100" s="317"/>
      <c r="AA100" s="317"/>
      <c r="AB100" s="317"/>
      <c r="AC100" s="317"/>
      <c r="AD100" s="317"/>
      <c r="AE100" s="317"/>
      <c r="AF100" s="317"/>
      <c r="AG100" s="317"/>
      <c r="AH100" s="317"/>
      <c r="AI100" s="317"/>
      <c r="AJ100" s="318"/>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8.75" customHeight="1" x14ac:dyDescent="0.4">
      <c r="C101" s="101"/>
      <c r="D101" s="194"/>
      <c r="E101" s="194"/>
      <c r="F101" s="194"/>
      <c r="G101" s="194"/>
      <c r="H101" s="194"/>
      <c r="I101" s="194"/>
      <c r="J101" s="194"/>
      <c r="K101" s="194"/>
      <c r="L101" s="194"/>
      <c r="M101" s="213"/>
      <c r="N101" s="154"/>
      <c r="O101" s="155"/>
      <c r="P101" s="155"/>
      <c r="Q101" s="156"/>
      <c r="R101" s="119"/>
      <c r="S101" s="119"/>
      <c r="T101" s="119"/>
      <c r="U101" s="319"/>
      <c r="V101" s="320"/>
      <c r="W101" s="320"/>
      <c r="X101" s="320"/>
      <c r="Y101" s="320"/>
      <c r="Z101" s="320"/>
      <c r="AA101" s="320"/>
      <c r="AB101" s="320"/>
      <c r="AC101" s="320"/>
      <c r="AD101" s="320"/>
      <c r="AE101" s="320"/>
      <c r="AF101" s="320"/>
      <c r="AG101" s="320"/>
      <c r="AH101" s="320"/>
      <c r="AI101" s="320"/>
      <c r="AJ101" s="32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7" priority="2">
      <formula>$BB$25="○"</formula>
    </cfRule>
  </conditionalFormatting>
  <conditionalFormatting sqref="BD28:BD30">
    <cfRule type="expression" dxfId="2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C4E08-1C7F-4429-AE7C-74541E370DE1}">
  <sheetPr>
    <pageSetUpPr fitToPage="1"/>
  </sheetPr>
  <dimension ref="A1:CN315"/>
  <sheetViews>
    <sheetView showZeros="0" view="pageBreakPreview" zoomScale="60" zoomScaleNormal="55" workbookViewId="0">
      <selection activeCell="AY122" sqref="AY122:BD12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IF(COUNTIF([9]回答表!K15,"*")&gt;0,[9]回答表!K15,"")</f>
        <v>仙北市</v>
      </c>
      <c r="D11" s="8"/>
      <c r="E11" s="8"/>
      <c r="F11" s="8"/>
      <c r="G11" s="8"/>
      <c r="H11" s="8"/>
      <c r="I11" s="8"/>
      <c r="J11" s="8"/>
      <c r="K11" s="8"/>
      <c r="L11" s="8"/>
      <c r="M11" s="8"/>
      <c r="N11" s="8"/>
      <c r="O11" s="8"/>
      <c r="P11" s="8"/>
      <c r="Q11" s="8"/>
      <c r="R11" s="8"/>
      <c r="S11" s="8"/>
      <c r="T11" s="8"/>
      <c r="U11" s="22" t="str">
        <f>IF(COUNTIF([9]回答表!F17,"*")&gt;0,[9]回答表!F17,"")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IF(COUNTIF([9]回答表!W17,"*")&gt;0,[9]回答表!W17,"")</f>
        <v>個別排水処理施設</v>
      </c>
      <c r="AP11" s="10"/>
      <c r="AQ11" s="10"/>
      <c r="AR11" s="10"/>
      <c r="AS11" s="10"/>
      <c r="AT11" s="10"/>
      <c r="AU11" s="10"/>
      <c r="AV11" s="10"/>
      <c r="AW11" s="10"/>
      <c r="AX11" s="10"/>
      <c r="AY11" s="10"/>
      <c r="AZ11" s="10"/>
      <c r="BA11" s="10"/>
      <c r="BB11" s="10"/>
      <c r="BC11" s="10"/>
      <c r="BD11" s="10"/>
      <c r="BE11" s="10"/>
      <c r="BF11" s="11"/>
      <c r="BG11" s="21" t="str">
        <f>IF(COUNTIF([9]回答表!F19,"*")&gt;0,[9]回答表!F19,"")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IF([9]回答表!R43="●","●","")</f>
        <v/>
      </c>
      <c r="E24" s="80"/>
      <c r="F24" s="80"/>
      <c r="G24" s="80"/>
      <c r="H24" s="80"/>
      <c r="I24" s="80"/>
      <c r="J24" s="81"/>
      <c r="K24" s="79" t="str">
        <f>IF([9]回答表!R44="●","●","")</f>
        <v/>
      </c>
      <c r="L24" s="80"/>
      <c r="M24" s="80"/>
      <c r="N24" s="80"/>
      <c r="O24" s="80"/>
      <c r="P24" s="80"/>
      <c r="Q24" s="81"/>
      <c r="R24" s="79" t="str">
        <f>IF([9]回答表!R45="●","●","")</f>
        <v/>
      </c>
      <c r="S24" s="80"/>
      <c r="T24" s="80"/>
      <c r="U24" s="80"/>
      <c r="V24" s="80"/>
      <c r="W24" s="80"/>
      <c r="X24" s="81"/>
      <c r="Y24" s="79" t="str">
        <f>IF([9]回答表!R46="●","●","")</f>
        <v/>
      </c>
      <c r="Z24" s="80"/>
      <c r="AA24" s="80"/>
      <c r="AB24" s="80"/>
      <c r="AC24" s="80"/>
      <c r="AD24" s="80"/>
      <c r="AE24" s="81"/>
      <c r="AF24" s="79" t="str">
        <f>IF([9]回答表!R47="●","●","")</f>
        <v/>
      </c>
      <c r="AG24" s="80"/>
      <c r="AH24" s="80"/>
      <c r="AI24" s="80"/>
      <c r="AJ24" s="80"/>
      <c r="AK24" s="80"/>
      <c r="AL24" s="81"/>
      <c r="AM24" s="79" t="str">
        <f>IF([9]回答表!R48="●","●","")</f>
        <v/>
      </c>
      <c r="AN24" s="80"/>
      <c r="AO24" s="80"/>
      <c r="AP24" s="80"/>
      <c r="AQ24" s="80"/>
      <c r="AR24" s="80"/>
      <c r="AS24" s="81"/>
      <c r="AT24" s="79" t="str">
        <f>IF([9]回答表!R49="●","●","")</f>
        <v/>
      </c>
      <c r="AU24" s="80"/>
      <c r="AV24" s="80"/>
      <c r="AW24" s="80"/>
      <c r="AX24" s="80"/>
      <c r="AY24" s="80"/>
      <c r="AZ24" s="81"/>
      <c r="BA24" s="68"/>
      <c r="BB24" s="82" t="str">
        <f>IF([9]回答表!R50="●","●","")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IF([9]回答表!X43="●","●","")</f>
        <v/>
      </c>
      <c r="O36" s="131"/>
      <c r="P36" s="131"/>
      <c r="Q36" s="132"/>
      <c r="R36" s="119"/>
      <c r="S36" s="119"/>
      <c r="T36" s="119"/>
      <c r="U36" s="133" t="str">
        <f>IF([9]回答表!X43="●",[9]回答表!B59,IF([9]回答表!AA43="●",[9]回答表!B79,""))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IF([9]回答表!X43="●",[9]回答表!S65,IF([9]回答表!AA43="●",[9]回答表!S85,""))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IF([9]回答表!X43="●",[9]回答表!G65,IF([9]回答表!AA43="●",[9]回答表!G85,""))</f>
        <v/>
      </c>
      <c r="AN38" s="83"/>
      <c r="AO38" s="83"/>
      <c r="AP38" s="83"/>
      <c r="AQ38" s="83"/>
      <c r="AR38" s="83"/>
      <c r="AS38" s="83"/>
      <c r="AT38" s="153"/>
      <c r="AU38" s="82" t="str">
        <f>IF([9]回答表!X43="●",[9]回答表!G66,IF([9]回答表!AA43="●",[9]回答表!G86,""))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IF([9]回答表!X43="●",[9]回答表!V65,IF([9]回答表!AA43="●",[9]回答表!V85,""))</f>
        <v/>
      </c>
      <c r="BG39" s="16"/>
      <c r="BH39" s="16"/>
      <c r="BI39" s="17"/>
      <c r="BJ39" s="150" t="str">
        <f>IF([9]回答表!X43="●",[9]回答表!V66,IF([9]回答表!AA43="●",[9]回答表!V86,""))</f>
        <v/>
      </c>
      <c r="BK39" s="16"/>
      <c r="BL39" s="16"/>
      <c r="BM39" s="17"/>
      <c r="BN39" s="150" t="str">
        <f>IF([9]回答表!X43="●",[9]回答表!V67,IF([9]回答表!AA43="●",[9]回答表!V87,""))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IF([9]回答表!X43="●",[9]回答表!O71,IF([9]回答表!AA43="●",[9]回答表!O91,""))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IF([9]回答表!X43="●",[9]回答表!O72,IF([9]回答表!AA43="●",[9]回答表!O92,""))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IF([9]回答表!AA43="●","●","")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IF([9]回答表!X43="●",[9]回答表!O73,IF([9]回答表!AA43="●",[9]回答表!O93,""))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IF([9]回答表!X43="●",[9]回答表!O74,IF([9]回答表!AA43="●",[9]回答表!O94,""))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IF([9]回答表!X43="●",[9]回答表!AG71,IF([9]回答表!AA43="●",[9]回答表!AG91,""))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IF([9]回答表!X43="●",[9]回答表!AG72,IF([9]回答表!AA43="●",[9]回答表!AG92,""))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IF([9]回答表!AD43="●","●","")</f>
        <v/>
      </c>
      <c r="O51" s="131"/>
      <c r="P51" s="131"/>
      <c r="Q51" s="132"/>
      <c r="R51" s="119"/>
      <c r="S51" s="119"/>
      <c r="T51" s="119"/>
      <c r="U51" s="133" t="str">
        <f>IF([9]回答表!AD43="●",[9]回答表!B99,"")</f>
        <v/>
      </c>
      <c r="V51" s="134"/>
      <c r="W51" s="134"/>
      <c r="X51" s="134"/>
      <c r="Y51" s="134"/>
      <c r="Z51" s="134"/>
      <c r="AA51" s="134"/>
      <c r="AB51" s="134"/>
      <c r="AC51" s="134"/>
      <c r="AD51" s="134"/>
      <c r="AE51" s="134"/>
      <c r="AF51" s="134"/>
      <c r="AG51" s="134"/>
      <c r="AH51" s="134"/>
      <c r="AI51" s="134"/>
      <c r="AJ51" s="135"/>
      <c r="AK51" s="183"/>
      <c r="AL51" s="183"/>
      <c r="AM51" s="133" t="str">
        <f>IF([9]回答表!AD43="●",[9]回答表!B104,"")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IF([9]回答表!X44="●","●","")</f>
        <v/>
      </c>
      <c r="O62" s="131"/>
      <c r="P62" s="131"/>
      <c r="Q62" s="132"/>
      <c r="R62" s="119"/>
      <c r="S62" s="119"/>
      <c r="T62" s="119"/>
      <c r="U62" s="133" t="str">
        <f>IF([9]回答表!X44="●",[9]回答表!B115,IF([9]回答表!AA44="●",[9]回答表!B127,""))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IF([9]回答表!X44="●",[9]回答表!S121,IF([9]回答表!AA44="●",[9]回答表!S133,""))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IF([9]回答表!X44="●",[9]回答表!J121,IF([9]回答表!AA44="●",[9]回答表!J133,""))</f>
        <v/>
      </c>
      <c r="AN65" s="83"/>
      <c r="AO65" s="83"/>
      <c r="AP65" s="83"/>
      <c r="AQ65" s="83"/>
      <c r="AR65" s="83"/>
      <c r="AS65" s="83"/>
      <c r="AT65" s="153"/>
      <c r="AU65" s="82" t="str">
        <f>IF([9]回答表!X44="●",[9]回答表!J122,IF([9]回答表!AA44="●",[9]回答表!J134,""))</f>
        <v/>
      </c>
      <c r="AV65" s="83"/>
      <c r="AW65" s="83"/>
      <c r="AX65" s="83"/>
      <c r="AY65" s="83"/>
      <c r="AZ65" s="83"/>
      <c r="BA65" s="83"/>
      <c r="BB65" s="153"/>
      <c r="BC65" s="120"/>
      <c r="BD65" s="109"/>
      <c r="BE65" s="109"/>
      <c r="BF65" s="150" t="str">
        <f>IF([9]回答表!X44="●",[9]回答表!V121,IF([9]回答表!AA44="●",[9]回答表!V133,""))</f>
        <v/>
      </c>
      <c r="BG65" s="151"/>
      <c r="BH65" s="151"/>
      <c r="BI65" s="151"/>
      <c r="BJ65" s="150" t="str">
        <f>IF([9]回答表!X44="●",[9]回答表!V122,IF([9]回答表!AA44="●",[9]回答表!V134,""))</f>
        <v/>
      </c>
      <c r="BK65" s="151"/>
      <c r="BL65" s="151"/>
      <c r="BM65" s="151"/>
      <c r="BN65" s="150" t="str">
        <f>IF([9]回答表!X44="●",[9]回答表!V123,IF([9]回答表!AA44="●",[9]回答表!V135,""))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IF([9]回答表!AA44="●","●","")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IF([9]回答表!AD44="●","●","")</f>
        <v/>
      </c>
      <c r="O74" s="131"/>
      <c r="P74" s="131"/>
      <c r="Q74" s="132"/>
      <c r="R74" s="119"/>
      <c r="S74" s="119"/>
      <c r="T74" s="119"/>
      <c r="U74" s="133" t="str">
        <f>IF([9]回答表!AD44="●",[9]回答表!B140,"")</f>
        <v/>
      </c>
      <c r="V74" s="134"/>
      <c r="W74" s="134"/>
      <c r="X74" s="134"/>
      <c r="Y74" s="134"/>
      <c r="Z74" s="134"/>
      <c r="AA74" s="134"/>
      <c r="AB74" s="134"/>
      <c r="AC74" s="134"/>
      <c r="AD74" s="134"/>
      <c r="AE74" s="134"/>
      <c r="AF74" s="134"/>
      <c r="AG74" s="134"/>
      <c r="AH74" s="134"/>
      <c r="AI74" s="134"/>
      <c r="AJ74" s="135"/>
      <c r="AK74" s="183"/>
      <c r="AL74" s="183"/>
      <c r="AM74" s="133" t="str">
        <f>IF([9]回答表!AD44="●",[9]回答表!B146,"")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IF([9]回答表!F17="水道事業",IF([9]回答表!X45="●","●",""),"")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IF([9]回答表!F17="水道事業",IF([9]回答表!X45="●",[9]回答表!B158,IF([9]回答表!AA45="●",[9]回答表!B223,"")),"")</f>
        <v/>
      </c>
      <c r="AN86" s="201"/>
      <c r="AO86" s="201"/>
      <c r="AP86" s="201"/>
      <c r="AQ86" s="201"/>
      <c r="AR86" s="201"/>
      <c r="AS86" s="201"/>
      <c r="AT86" s="201"/>
      <c r="AU86" s="201"/>
      <c r="AV86" s="201"/>
      <c r="AW86" s="201"/>
      <c r="AX86" s="201"/>
      <c r="AY86" s="201"/>
      <c r="AZ86" s="201"/>
      <c r="BA86" s="201"/>
      <c r="BB86" s="201"/>
      <c r="BC86" s="202"/>
      <c r="BD86" s="109"/>
      <c r="BE86" s="109"/>
      <c r="BF86" s="138" t="str">
        <f>IF([9]回答表!F17="水道事業",IF([9]回答表!X45="●",[9]回答表!B212,IF([9]回答表!AA45="●",[9]回答表!B278,"")),"")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IF([9]回答表!F17="水道事業",IF([9]回答表!X45="●",[9]回答表!J166,IF([9]回答表!AA45="●",[9]回答表!J231,"")),"")</f>
        <v/>
      </c>
      <c r="V88" s="83"/>
      <c r="W88" s="83"/>
      <c r="X88" s="83"/>
      <c r="Y88" s="83"/>
      <c r="Z88" s="83"/>
      <c r="AA88" s="83"/>
      <c r="AB88" s="153"/>
      <c r="AC88" s="82" t="str">
        <f>IF([9]回答表!F17="水道事業",IF([9]回答表!X45="●",[9]回答表!J173,IF([9]回答表!AA45="●",[9]回答表!J238,"")),"")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IF([9]回答表!F17="水道事業",IF([9]回答表!X45="●",[9]回答表!E212,IF([9]回答表!AA45="●",[9]回答表!E278,"")),"")</f>
        <v/>
      </c>
      <c r="BG89" s="151"/>
      <c r="BH89" s="151"/>
      <c r="BI89" s="151"/>
      <c r="BJ89" s="150" t="str">
        <f>IF([9]回答表!F17="水道事業",IF([9]回答表!X45="●",[9]回答表!E213,IF([9]回答表!AA45="●",[9]回答表!E279,"")),"")</f>
        <v/>
      </c>
      <c r="BK89" s="151"/>
      <c r="BL89" s="151"/>
      <c r="BM89" s="151"/>
      <c r="BN89" s="150" t="str">
        <f>IF([9]回答表!F17="水道事業",IF([9]回答表!X45="●",[9]回答表!E214,IF([9]回答表!AA45="●",[9]回答表!E280,"")),"")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IF([9]回答表!F17="水道事業",IF([9]回答表!AA45="●","●",""),"")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IF([9]回答表!F17="水道事業",IF([9]回答表!X45="●",[9]回答表!J176,IF([9]回答表!AA45="●",[9]回答表!J241,"")),"")</f>
        <v/>
      </c>
      <c r="V93" s="83"/>
      <c r="W93" s="83"/>
      <c r="X93" s="83"/>
      <c r="Y93" s="83"/>
      <c r="Z93" s="83"/>
      <c r="AA93" s="83"/>
      <c r="AB93" s="153"/>
      <c r="AC93" s="82" t="str">
        <f>IF([9]回答表!F17="水道事業",IF([9]回答表!X45="●",[9]回答表!J180,IF([9]回答表!AA45="●",[9]回答表!J245,"")),"")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IF([9]回答表!F17="水道事業",IF([9]回答表!AD45="●","●",""),"")</f>
        <v/>
      </c>
      <c r="O98" s="131"/>
      <c r="P98" s="131"/>
      <c r="Q98" s="132"/>
      <c r="R98" s="119"/>
      <c r="S98" s="119"/>
      <c r="T98" s="119"/>
      <c r="U98" s="133" t="str">
        <f>IF([9]回答表!F17="水道事業",IF([9]回答表!AD45="●",[9]回答表!B289,""),"")</f>
        <v/>
      </c>
      <c r="V98" s="134"/>
      <c r="W98" s="134"/>
      <c r="X98" s="134"/>
      <c r="Y98" s="134"/>
      <c r="Z98" s="134"/>
      <c r="AA98" s="134"/>
      <c r="AB98" s="134"/>
      <c r="AC98" s="134"/>
      <c r="AD98" s="134"/>
      <c r="AE98" s="134"/>
      <c r="AF98" s="134"/>
      <c r="AG98" s="134"/>
      <c r="AH98" s="134"/>
      <c r="AI98" s="134"/>
      <c r="AJ98" s="135"/>
      <c r="AK98" s="183"/>
      <c r="AL98" s="183"/>
      <c r="AM98" s="133" t="str">
        <f>IF([9]回答表!F17="水道事業",IF([9]回答表!AD45="●",[9]回答表!B295,""),"")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IF([9]回答表!F17="簡易水道事業",IF([9]回答表!X45="●",[9]回答表!B158,IF([9]回答表!AA45="●",[9]回答表!B223,"")),"")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IF([9]回答表!F17="簡易水道事業",IF([9]回答表!X45="●",[9]回答表!B212,IF([9]回答表!AA45="●",[9]回答表!B278,"")),"")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IF([9]回答表!F17="簡易水道事業",IF([9]回答表!X45="●","●",""),"")</f>
        <v/>
      </c>
      <c r="O112" s="131"/>
      <c r="P112" s="131"/>
      <c r="Q112" s="132"/>
      <c r="R112" s="119"/>
      <c r="S112" s="119"/>
      <c r="T112" s="119"/>
      <c r="U112" s="82" t="str">
        <f>IF([9]回答表!F17="簡易水道事業",IF([9]回答表!X45="●",[9]回答表!Y185,IF([9]回答表!AA45="●",[9]回答表!Y251,"")),"")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IF([9]回答表!F17="簡易水道事業",IF([9]回答表!X45="●",[9]回答表!E212,IF([9]回答表!AA45="●",[9]回答表!E278,"")),"")</f>
        <v/>
      </c>
      <c r="BG113" s="151"/>
      <c r="BH113" s="151"/>
      <c r="BI113" s="151"/>
      <c r="BJ113" s="150" t="str">
        <f>IF([9]回答表!F17="簡易水道事業",IF([9]回答表!X45="●",[9]回答表!E213,IF([9]回答表!AA45="●",[9]回答表!E279,"")),"")</f>
        <v/>
      </c>
      <c r="BK113" s="151"/>
      <c r="BL113" s="151"/>
      <c r="BM113" s="151"/>
      <c r="BN113" s="150" t="str">
        <f>IF([9]回答表!F17="簡易水道事業",IF([9]回答表!X45="●",[9]回答表!E214,IF([9]回答表!AA45="●",[9]回答表!E280,"")),"")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IF([9]回答表!F17="簡易水道事業",IF([9]回答表!X45="●",[9]回答表!Y186,IF([9]回答表!AA45="●",[9]回答表!Y252,"")),"")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IF([9]回答表!F17="簡易水道事業",IF([9]回答表!AA45="●","●",""),"")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IF([9]回答表!F17="簡易水道事業",IF([9]回答表!X45="●",[9]回答表!Y187,IF([9]回答表!AA45="●",[9]回答表!Y253,"")),"")</f>
        <v/>
      </c>
      <c r="V122" s="83"/>
      <c r="W122" s="83"/>
      <c r="X122" s="83"/>
      <c r="Y122" s="83"/>
      <c r="Z122" s="83"/>
      <c r="AA122" s="83"/>
      <c r="AB122" s="83"/>
      <c r="AC122" s="83"/>
      <c r="AD122" s="83"/>
      <c r="AE122" s="83"/>
      <c r="AF122" s="83"/>
      <c r="AG122" s="83"/>
      <c r="AH122" s="83"/>
      <c r="AI122" s="83"/>
      <c r="AJ122" s="153"/>
      <c r="AK122" s="68"/>
      <c r="AL122" s="68"/>
      <c r="AM122" s="233" t="str">
        <f>IF([9]回答表!F17="簡易水道事業",IF([9]回答表!X45="●",[9]回答表!Y189,IF([9]回答表!AA45="●",[9]回答表!Y255,"")),"")</f>
        <v/>
      </c>
      <c r="AN122" s="233"/>
      <c r="AO122" s="233"/>
      <c r="AP122" s="233"/>
      <c r="AQ122" s="233"/>
      <c r="AR122" s="233"/>
      <c r="AS122" s="233" t="str">
        <f>IF([9]回答表!F17="簡易水道事業",IF([9]回答表!X45="●",[9]回答表!Y190,IF([9]回答表!AA45="●",[9]回答表!Y256,"")),"")</f>
        <v/>
      </c>
      <c r="AT122" s="233"/>
      <c r="AU122" s="233"/>
      <c r="AV122" s="233"/>
      <c r="AW122" s="233"/>
      <c r="AX122" s="233"/>
      <c r="AY122" s="233" t="str">
        <f>IF([9]回答表!F17="簡易水道事業",IF([9]回答表!X45="●",[9]回答表!Y191,IF([9]回答表!AA45="●",[9]回答表!Y257,"")),"")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IF([9]回答表!F17="簡易水道事業",IF([9]回答表!AD45="●","●",""),"")</f>
        <v/>
      </c>
      <c r="O127" s="131"/>
      <c r="P127" s="131"/>
      <c r="Q127" s="132"/>
      <c r="R127" s="119"/>
      <c r="S127" s="119"/>
      <c r="T127" s="119"/>
      <c r="U127" s="133" t="str">
        <f>IF([9]回答表!F17="簡易水道事業",IF([9]回答表!AD45="●",[9]回答表!B289,""),"")</f>
        <v/>
      </c>
      <c r="V127" s="134"/>
      <c r="W127" s="134"/>
      <c r="X127" s="134"/>
      <c r="Y127" s="134"/>
      <c r="Z127" s="134"/>
      <c r="AA127" s="134"/>
      <c r="AB127" s="134"/>
      <c r="AC127" s="134"/>
      <c r="AD127" s="134"/>
      <c r="AE127" s="134"/>
      <c r="AF127" s="134"/>
      <c r="AG127" s="134"/>
      <c r="AH127" s="134"/>
      <c r="AI127" s="134"/>
      <c r="AJ127" s="135"/>
      <c r="AK127" s="183"/>
      <c r="AL127" s="183"/>
      <c r="AM127" s="133" t="str">
        <f>IF([9]回答表!F17="簡易水道事業",IF([9]回答表!AD45="●",[9]回答表!B295,""),"")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IF([9]回答表!F17="下水道事業",IF([9]回答表!X45="●","●",""),"")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IF([9]回答表!F17="下水道事業",IF([9]回答表!X45="●",[9]回答表!B158,IF([9]回答表!AA45="●",[9]回答表!B223,"")),"")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IF([9]回答表!F17="下水道事業",IF([9]回答表!X45="●",[9]回答表!B212,IF([9]回答表!AA45="●",[9]回答表!B278,"")),"")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IF([9]回答表!F17="下水道事業",IF([9]回答表!X45="●",[9]回答表!Y193,IF([9]回答表!AA45="●",[9]回答表!Y259,"")),"")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IF([9]回答表!F17="下水道事業",IF([9]回答表!X45="●",[9]回答表!E212,IF([9]回答表!AA45="●",[9]回答表!E278,"")),"")</f>
        <v/>
      </c>
      <c r="BG142" s="151"/>
      <c r="BH142" s="151"/>
      <c r="BI142" s="151"/>
      <c r="BJ142" s="150" t="str">
        <f>IF([9]回答表!F17="下水道事業",IF([9]回答表!X45="●",[9]回答表!E213,IF([9]回答表!AA45="●",[9]回答表!E279,"")),"")</f>
        <v/>
      </c>
      <c r="BK142" s="151"/>
      <c r="BL142" s="151"/>
      <c r="BM142" s="151"/>
      <c r="BN142" s="150" t="str">
        <f>IF([9]回答表!F17="下水道事業",IF([9]回答表!X45="●",[9]回答表!E214,IF([9]回答表!AA45="●",[9]回答表!E280,"")),"")</f>
        <v/>
      </c>
      <c r="BO142" s="151"/>
      <c r="BP142" s="151"/>
      <c r="BQ142" s="152"/>
      <c r="BR142" s="112"/>
      <c r="BX142" s="200" t="str">
        <f>IF([9]回答表!AQ20="下水道事業",IF([9]回答表!BI48="○",[9]回答表!AM161,IF([9]回答表!BL48="○",[9]回答表!AM226,"")),"")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IF([9]回答表!F17="下水道事業",IF([9]回答表!X45="●",[9]回答表!Y195,IF([9]回答表!AA45="●",[9]回答表!Y261,"")),"")</f>
        <v/>
      </c>
      <c r="V147" s="83"/>
      <c r="W147" s="83"/>
      <c r="X147" s="83"/>
      <c r="Y147" s="83"/>
      <c r="Z147" s="83"/>
      <c r="AA147" s="83"/>
      <c r="AB147" s="153"/>
      <c r="AC147" s="82" t="str">
        <f>IF([9]回答表!F17="下水道事業",IF([9]回答表!X45="●",[9]回答表!Y196,IF([9]回答表!AA45="●",[9]回答表!Y262,"")),"")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IF([9]回答表!F17="下水道事業",IF([9]回答表!X45="●",[9]回答表!Y198,IF([9]回答表!AA45="●",[9]回答表!Y264,"")),"")</f>
        <v/>
      </c>
      <c r="V153" s="83"/>
      <c r="W153" s="83"/>
      <c r="X153" s="83"/>
      <c r="Y153" s="83"/>
      <c r="Z153" s="83"/>
      <c r="AA153" s="83"/>
      <c r="AB153" s="153"/>
      <c r="AC153" s="82" t="str">
        <f>IF([9]回答表!F17="下水道事業",IF([9]回答表!X45="●",[9]回答表!Y199,IF([9]回答表!AA45="●",[9]回答表!Y265,"")),"")</f>
        <v/>
      </c>
      <c r="AD153" s="83"/>
      <c r="AE153" s="83"/>
      <c r="AF153" s="83"/>
      <c r="AG153" s="83"/>
      <c r="AH153" s="83"/>
      <c r="AI153" s="83"/>
      <c r="AJ153" s="153"/>
      <c r="AK153" s="82" t="str">
        <f>IF([9]回答表!F17="下水道事業",IF([9]回答表!X45="●",[9]回答表!Y200,IF([9]回答表!AA45="●",[9]回答表!Y266,"")),"")</f>
        <v/>
      </c>
      <c r="AL153" s="83"/>
      <c r="AM153" s="83"/>
      <c r="AN153" s="83"/>
      <c r="AO153" s="83"/>
      <c r="AP153" s="83"/>
      <c r="AQ153" s="83"/>
      <c r="AR153" s="153"/>
      <c r="AS153" s="82" t="str">
        <f>IF([9]回答表!F17="下水道事業",IF([9]回答表!X45="●",[9]回答表!Y201,IF([9]回答表!AA45="●",[9]回答表!Y267,"")),"")</f>
        <v/>
      </c>
      <c r="AT153" s="83"/>
      <c r="AU153" s="83"/>
      <c r="AV153" s="83"/>
      <c r="AW153" s="83"/>
      <c r="AX153" s="83"/>
      <c r="AY153" s="83"/>
      <c r="AZ153" s="153"/>
      <c r="BA153" s="82" t="str">
        <f>IF([9]回答表!F17="下水道事業",IF([9]回答表!X45="●",[9]回答表!Y202,IF([9]回答表!AA45="●",[9]回答表!Y268,"")),"")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IF([9]回答表!F17="下水道事業",IF([9]回答表!AA45="●","●",""),"")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IF([9]回答表!F17="下水道事業",IF([9]回答表!X45="●",[9]回答表!Y207,IF([9]回答表!AA45="●",[9]回答表!Y273,"")),"")</f>
        <v/>
      </c>
      <c r="V159" s="83"/>
      <c r="W159" s="83"/>
      <c r="X159" s="83"/>
      <c r="Y159" s="83"/>
      <c r="Z159" s="83"/>
      <c r="AA159" s="83"/>
      <c r="AB159" s="153"/>
      <c r="AC159" s="82" t="str">
        <f>IF([9]回答表!F17="下水道事業",IF([9]回答表!X45="●",[9]回答表!Y208,IF([9]回答表!AA45="●",[9]回答表!Y274,"")),"")</f>
        <v/>
      </c>
      <c r="AD159" s="83"/>
      <c r="AE159" s="83"/>
      <c r="AF159" s="83"/>
      <c r="AG159" s="83"/>
      <c r="AH159" s="83"/>
      <c r="AI159" s="83"/>
      <c r="AJ159" s="153"/>
      <c r="AK159" s="82" t="str">
        <f>IF([9]回答表!F17="下水道事業",IF([9]回答表!X45="●",[9]回答表!Y209,IF([9]回答表!AA45="●",[9]回答表!Y275,"")),"")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IF([9]回答表!F17="下水道事業",IF([9]回答表!AD45="●","●",""),"")</f>
        <v/>
      </c>
      <c r="O164" s="131"/>
      <c r="P164" s="131"/>
      <c r="Q164" s="132"/>
      <c r="R164" s="119"/>
      <c r="S164" s="119"/>
      <c r="T164" s="119"/>
      <c r="U164" s="133" t="str">
        <f>IF([9]回答表!F17="下水道事業",IF([9]回答表!AD45="●",[9]回答表!B289,""),"")</f>
        <v/>
      </c>
      <c r="V164" s="134"/>
      <c r="W164" s="134"/>
      <c r="X164" s="134"/>
      <c r="Y164" s="134"/>
      <c r="Z164" s="134"/>
      <c r="AA164" s="134"/>
      <c r="AB164" s="134"/>
      <c r="AC164" s="134"/>
      <c r="AD164" s="134"/>
      <c r="AE164" s="134"/>
      <c r="AF164" s="134"/>
      <c r="AG164" s="134"/>
      <c r="AH164" s="134"/>
      <c r="AI164" s="134"/>
      <c r="AJ164" s="135"/>
      <c r="AK164" s="183"/>
      <c r="AL164" s="183"/>
      <c r="AM164" s="133" t="str">
        <f>IF([9]回答表!F17="下水道事業",IF([9]回答表!AD45="●",[9]回答表!B295,""),"")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IF([9]回答表!BD17="●",IF([9]回答表!X45="●","●",""),"")</f>
        <v/>
      </c>
      <c r="O176" s="131"/>
      <c r="P176" s="131"/>
      <c r="Q176" s="132"/>
      <c r="R176" s="119"/>
      <c r="S176" s="119"/>
      <c r="T176" s="119"/>
      <c r="U176" s="133" t="str">
        <f>IF([9]回答表!BD17="●",IF([9]回答表!X45="●",[9]回答表!B158,IF([9]回答表!AA45="●",[9]回答表!B223,"")),"")</f>
        <v/>
      </c>
      <c r="V176" s="134"/>
      <c r="W176" s="134"/>
      <c r="X176" s="134"/>
      <c r="Y176" s="134"/>
      <c r="Z176" s="134"/>
      <c r="AA176" s="134"/>
      <c r="AB176" s="134"/>
      <c r="AC176" s="134"/>
      <c r="AD176" s="134"/>
      <c r="AE176" s="134"/>
      <c r="AF176" s="134"/>
      <c r="AG176" s="134"/>
      <c r="AH176" s="134"/>
      <c r="AI176" s="134"/>
      <c r="AJ176" s="135"/>
      <c r="AK176" s="136"/>
      <c r="AL176" s="136"/>
      <c r="AM176" s="138" t="str">
        <f>IF([9]回答表!BD17="●",IF([9]回答表!X45="●",[9]回答表!B212,IF([9]回答表!AA45="●",[9]回答表!B278,"")),"")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IF([9]回答表!BD17="●",IF([9]回答表!X45="●",[9]回答表!E212,IF([9]回答表!AA45="●",[9]回答表!E278,"")),"")</f>
        <v/>
      </c>
      <c r="AN179" s="151"/>
      <c r="AO179" s="151"/>
      <c r="AP179" s="151"/>
      <c r="AQ179" s="150" t="str">
        <f>IF([9]回答表!BD17="●",IF([9]回答表!X45="●",[9]回答表!E213,IF([9]回答表!AA45="●",[9]回答表!E279,"")),"")</f>
        <v/>
      </c>
      <c r="AR179" s="151"/>
      <c r="AS179" s="151"/>
      <c r="AT179" s="151"/>
      <c r="AU179" s="150" t="str">
        <f>IF([9]回答表!BD17="●",IF([9]回答表!X45="●",[9]回答表!E214,IF([9]回答表!AA45="●",[9]回答表!E280,"")),"")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IF([9]回答表!BD17="●",IF([9]回答表!AA45="●","●",""),"")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IF([9]回答表!BD17="●",IF([9]回答表!AD45="●","●",""),"")</f>
        <v/>
      </c>
      <c r="O188" s="131"/>
      <c r="P188" s="131"/>
      <c r="Q188" s="132"/>
      <c r="R188" s="119"/>
      <c r="S188" s="119"/>
      <c r="T188" s="119"/>
      <c r="U188" s="133" t="str">
        <f>IF([9]回答表!BD17="●",IF([9]回答表!AD45="●",[9]回答表!B289,""),"")</f>
        <v/>
      </c>
      <c r="V188" s="134"/>
      <c r="W188" s="134"/>
      <c r="X188" s="134"/>
      <c r="Y188" s="134"/>
      <c r="Z188" s="134"/>
      <c r="AA188" s="134"/>
      <c r="AB188" s="134"/>
      <c r="AC188" s="134"/>
      <c r="AD188" s="134"/>
      <c r="AE188" s="134"/>
      <c r="AF188" s="134"/>
      <c r="AG188" s="134"/>
      <c r="AH188" s="134"/>
      <c r="AI188" s="134"/>
      <c r="AJ188" s="135"/>
      <c r="AK188" s="183"/>
      <c r="AL188" s="183"/>
      <c r="AM188" s="133" t="str">
        <f>IF([9]回答表!BD17="●",IF([9]回答表!AD45="●",[9]回答表!B295,""),"")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IF([9]回答表!X46="●","●","")</f>
        <v/>
      </c>
      <c r="O200" s="131"/>
      <c r="P200" s="131"/>
      <c r="Q200" s="132"/>
      <c r="R200" s="119"/>
      <c r="S200" s="119"/>
      <c r="T200" s="119"/>
      <c r="U200" s="133" t="str">
        <f>IF([9]回答表!X46="●",[9]回答表!B307,IF([9]回答表!AA46="●",[9]回答表!B324,""))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IF([9]回答表!X46="●",[9]回答表!U313,IF([9]回答表!AA46="●",[9]回答表!U330,""))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IF([9]回答表!X46="●",[9]回答表!G313,IF([9]回答表!AA46="●",[9]回答表!G330,""))</f>
        <v/>
      </c>
      <c r="AN203" s="83"/>
      <c r="AO203" s="83"/>
      <c r="AP203" s="83"/>
      <c r="AQ203" s="83"/>
      <c r="AR203" s="83"/>
      <c r="AS203" s="83"/>
      <c r="AT203" s="153"/>
      <c r="AU203" s="82" t="str">
        <f>IF([9]回答表!X46="●",[9]回答表!G314,IF([9]回答表!AA46="●",[9]回答表!G331,""))</f>
        <v/>
      </c>
      <c r="AV203" s="83"/>
      <c r="AW203" s="83"/>
      <c r="AX203" s="83"/>
      <c r="AY203" s="83"/>
      <c r="AZ203" s="83"/>
      <c r="BA203" s="83"/>
      <c r="BB203" s="153"/>
      <c r="BC203" s="120"/>
      <c r="BD203" s="109"/>
      <c r="BE203" s="109"/>
      <c r="BF203" s="150" t="str">
        <f>IF([9]回答表!X46="●",[9]回答表!X313,IF([9]回答表!AA46="●",[9]回答表!X330,""))</f>
        <v/>
      </c>
      <c r="BG203" s="151"/>
      <c r="BH203" s="151"/>
      <c r="BI203" s="151"/>
      <c r="BJ203" s="150" t="str">
        <f>IF([9]回答表!X46="●",[9]回答表!X314,IF([9]回答表!AA46="●",[9]回答表!X331,""))</f>
        <v/>
      </c>
      <c r="BK203" s="151"/>
      <c r="BL203" s="151"/>
      <c r="BM203" s="152"/>
      <c r="BN203" s="150" t="str">
        <f>IF([9]回答表!X46="●",[9]回答表!X315,IF([9]回答表!AA46="●",[9]回答表!X332,""))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IF([9]回答表!AA46="●","●","")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IF([9]回答表!AD46="●","●","")</f>
        <v/>
      </c>
      <c r="O212" s="131"/>
      <c r="P212" s="131"/>
      <c r="Q212" s="132"/>
      <c r="R212" s="119"/>
      <c r="S212" s="119"/>
      <c r="T212" s="119"/>
      <c r="U212" s="133" t="str">
        <f>IF([9]回答表!AD46="●",[9]回答表!B337,"")</f>
        <v/>
      </c>
      <c r="V212" s="134"/>
      <c r="W212" s="134"/>
      <c r="X212" s="134"/>
      <c r="Y212" s="134"/>
      <c r="Z212" s="134"/>
      <c r="AA212" s="134"/>
      <c r="AB212" s="134"/>
      <c r="AC212" s="134"/>
      <c r="AD212" s="134"/>
      <c r="AE212" s="134"/>
      <c r="AF212" s="134"/>
      <c r="AG212" s="134"/>
      <c r="AH212" s="134"/>
      <c r="AI212" s="134"/>
      <c r="AJ212" s="135"/>
      <c r="AK212" s="259"/>
      <c r="AL212" s="259"/>
      <c r="AM212" s="133" t="str">
        <f>IF([9]回答表!AD46="●",[9]回答表!B343,"")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IF([9]回答表!X47="●","●","")</f>
        <v/>
      </c>
      <c r="O224" s="131"/>
      <c r="P224" s="131"/>
      <c r="Q224" s="132"/>
      <c r="R224" s="119"/>
      <c r="S224" s="119"/>
      <c r="T224" s="119"/>
      <c r="U224" s="133" t="str">
        <f>IF([9]回答表!X47="●",[9]回答表!B356,IF([9]回答表!AA47="●",[9]回答表!B379,""))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IF([9]回答表!X47="●",[9]回答表!B362,"")</f>
        <v/>
      </c>
      <c r="AO224" s="263"/>
      <c r="AP224" s="263"/>
      <c r="AQ224" s="263"/>
      <c r="AR224" s="263"/>
      <c r="AS224" s="263"/>
      <c r="AT224" s="263"/>
      <c r="AU224" s="263"/>
      <c r="AV224" s="263"/>
      <c r="AW224" s="263"/>
      <c r="AX224" s="263"/>
      <c r="AY224" s="263"/>
      <c r="AZ224" s="263"/>
      <c r="BA224" s="263"/>
      <c r="BB224" s="264"/>
      <c r="BC224" s="120"/>
      <c r="BD224" s="109"/>
      <c r="BE224" s="109"/>
      <c r="BF224" s="138" t="str">
        <f>IF([9]回答表!X47="●",[9]回答表!B368,IF([9]回答表!AA47="●",[9]回答表!B385,""))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IF([9]回答表!X47="●",[9]回答表!E368,IF([9]回答表!AA47="●",[9]回答表!E385,""))</f>
        <v/>
      </c>
      <c r="BG227" s="151"/>
      <c r="BH227" s="151"/>
      <c r="BI227" s="151"/>
      <c r="BJ227" s="150" t="str">
        <f>IF([9]回答表!X47="●",[9]回答表!E369,IF([9]回答表!AA47="●",[9]回答表!E386,""))</f>
        <v/>
      </c>
      <c r="BK227" s="151"/>
      <c r="BL227" s="151"/>
      <c r="BM227" s="152"/>
      <c r="BN227" s="150" t="str">
        <f>IF([9]回答表!X47="●",[9]回答表!E370,IF([9]回答表!AA47="●",[9]回答表!E387,""))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IF([9]回答表!AA47="●","●","")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IF([9]回答表!AD47="●","●","")</f>
        <v/>
      </c>
      <c r="O236" s="131"/>
      <c r="P236" s="131"/>
      <c r="Q236" s="132"/>
      <c r="R236" s="119"/>
      <c r="S236" s="119"/>
      <c r="T236" s="119"/>
      <c r="U236" s="133" t="str">
        <f>IF([9]回答表!AD47="●",[9]回答表!B392,"")</f>
        <v/>
      </c>
      <c r="V236" s="134"/>
      <c r="W236" s="134"/>
      <c r="X236" s="134"/>
      <c r="Y236" s="134"/>
      <c r="Z236" s="134"/>
      <c r="AA236" s="134"/>
      <c r="AB236" s="134"/>
      <c r="AC236" s="134"/>
      <c r="AD236" s="134"/>
      <c r="AE236" s="134"/>
      <c r="AF236" s="134"/>
      <c r="AG236" s="134"/>
      <c r="AH236" s="134"/>
      <c r="AI236" s="134"/>
      <c r="AJ236" s="135"/>
      <c r="AK236" s="259"/>
      <c r="AL236" s="259"/>
      <c r="AM236" s="133" t="str">
        <f>IF([9]回答表!AD47="●",[9]回答表!B398,"")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IF([9]回答表!X48="●","●","")</f>
        <v/>
      </c>
      <c r="O248" s="131"/>
      <c r="P248" s="131"/>
      <c r="Q248" s="132"/>
      <c r="R248" s="119"/>
      <c r="S248" s="119"/>
      <c r="T248" s="119"/>
      <c r="U248" s="133" t="str">
        <f>IF([9]回答表!X48="●",[9]回答表!B411,IF([9]回答表!AA48="●",[9]回答表!B425,""))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IF([9]回答表!X48="●",[9]回答表!BC418,IF([9]回答表!AA48="●",[9]回答表!BC432,""))</f>
        <v/>
      </c>
      <c r="AR248" s="272"/>
      <c r="AS248" s="272"/>
      <c r="AT248" s="272"/>
      <c r="AU248" s="273" t="s">
        <v>73</v>
      </c>
      <c r="AV248" s="274"/>
      <c r="AW248" s="274"/>
      <c r="AX248" s="275"/>
      <c r="AY248" s="272" t="str">
        <f>IF([9]回答表!X48="●",[9]回答表!BC423,IF([9]回答表!AA48="●",[9]回答表!BC437,""))</f>
        <v/>
      </c>
      <c r="AZ248" s="272"/>
      <c r="BA248" s="272"/>
      <c r="BB248" s="272"/>
      <c r="BC248" s="120"/>
      <c r="BD248" s="109"/>
      <c r="BE248" s="109"/>
      <c r="BF248" s="138" t="str">
        <f>IF([9]回答表!X48="●",[9]回答表!S417,IF([9]回答表!AA48="●",[9]回答表!S431,""))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IF([9]回答表!X48="●",[9]回答表!BC419,IF([9]回答表!AA48="●",[9]回答表!BC433,""))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IF([9]回答表!X48="●",[9]回答表!V417,IF([9]回答表!AA48="●",[9]回答表!V431,""))</f>
        <v/>
      </c>
      <c r="BG251" s="151"/>
      <c r="BH251" s="151"/>
      <c r="BI251" s="151"/>
      <c r="BJ251" s="150" t="str">
        <f>IF([9]回答表!X48="●",[9]回答表!V418,IF([9]回答表!AA48="●",[9]回答表!V432,""))</f>
        <v/>
      </c>
      <c r="BK251" s="151"/>
      <c r="BL251" s="151"/>
      <c r="BM251" s="152"/>
      <c r="BN251" s="150" t="str">
        <f>IF([9]回答表!X48="●",[9]回答表!V419,IF([9]回答表!AA48="●",[9]回答表!V433,""))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IF([9]回答表!X48="●",[9]回答表!BC420,IF([9]回答表!AA48="●",[9]回答表!BC434,""))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IF([9]回答表!X48="●",[9]回答表!BC424,IF([9]回答表!AA48="●",[9]回答表!BC438,""))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IF([9]回答表!AA48="●","●","")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IF([9]回答表!X48="●",[9]回答表!BC421,IF([9]回答表!AA48="●",[9]回答表!BC435,""))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IF([9]回答表!X48="●",[9]回答表!BC422,IF([9]回答表!AA48="●",[9]回答表!BC436,""))</f>
        <v/>
      </c>
      <c r="AR256" s="272"/>
      <c r="AS256" s="272"/>
      <c r="AT256" s="272"/>
      <c r="AU256" s="224" t="s">
        <v>79</v>
      </c>
      <c r="AV256" s="225"/>
      <c r="AW256" s="225"/>
      <c r="AX256" s="226"/>
      <c r="AY256" s="282" t="str">
        <f>IF([9]回答表!X48="●",[9]回答表!BC425,IF([9]回答表!AA48="●",[9]回答表!BC439,""))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IF([9]回答表!AD48="●","●","")</f>
        <v/>
      </c>
      <c r="O260" s="131"/>
      <c r="P260" s="131"/>
      <c r="Q260" s="132"/>
      <c r="R260" s="119"/>
      <c r="S260" s="119"/>
      <c r="T260" s="119"/>
      <c r="U260" s="133" t="str">
        <f>IF([9]回答表!AD48="●",[9]回答表!B439,"")</f>
        <v/>
      </c>
      <c r="V260" s="134"/>
      <c r="W260" s="134"/>
      <c r="X260" s="134"/>
      <c r="Y260" s="134"/>
      <c r="Z260" s="134"/>
      <c r="AA260" s="134"/>
      <c r="AB260" s="134"/>
      <c r="AC260" s="134"/>
      <c r="AD260" s="134"/>
      <c r="AE260" s="134"/>
      <c r="AF260" s="134"/>
      <c r="AG260" s="134"/>
      <c r="AH260" s="134"/>
      <c r="AI260" s="134"/>
      <c r="AJ260" s="135"/>
      <c r="AK260" s="183"/>
      <c r="AL260" s="183"/>
      <c r="AM260" s="133" t="str">
        <f>IF([9]回答表!AD48="●",[9]回答表!B445,"")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IF([9]回答表!X49="●","●","")</f>
        <v/>
      </c>
      <c r="O271" s="131"/>
      <c r="P271" s="131"/>
      <c r="Q271" s="132"/>
      <c r="R271" s="119"/>
      <c r="S271" s="119"/>
      <c r="T271" s="119"/>
      <c r="U271" s="133" t="str">
        <f>IF([9]回答表!X49="●",[9]回答表!B458,IF([9]回答表!AA49="●",[9]回答表!B475,""))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IF([9]回答表!X49="●",[9]回答表!B468,IF([9]回答表!AA49="●",[9]回答表!B485,""))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IF([9]回答表!X49="●",[9]回答表!G464,IF([9]回答表!AA49="●",[9]回答表!G481,""))</f>
        <v/>
      </c>
      <c r="AN273" s="83"/>
      <c r="AO273" s="83"/>
      <c r="AP273" s="83"/>
      <c r="AQ273" s="83"/>
      <c r="AR273" s="83"/>
      <c r="AS273" s="83"/>
      <c r="AT273" s="153"/>
      <c r="AU273" s="82" t="str">
        <f>IF([9]回答表!X49="●",[9]回答表!G465,IF([9]回答表!AA49="●",[9]回答表!G482,""))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IF([9]回答表!X49="●",[9]回答表!E468,IF([9]回答表!AA49="●",[9]回答表!E485,""))</f>
        <v/>
      </c>
      <c r="BG274" s="151"/>
      <c r="BH274" s="151"/>
      <c r="BI274" s="151"/>
      <c r="BJ274" s="150" t="str">
        <f>IF([9]回答表!X49="●",[9]回答表!E469,IF([9]回答表!AA49="●",[9]回答表!E486,""))</f>
        <v/>
      </c>
      <c r="BK274" s="151"/>
      <c r="BL274" s="151"/>
      <c r="BM274" s="152"/>
      <c r="BN274" s="150" t="str">
        <f>IF([9]回答表!X49="●",[9]回答表!E470,IF([9]回答表!AA49="●",[9]回答表!E487,""))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IF([9]回答表!AA49="●","●","")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IF([9]回答表!AD49="●","●","")</f>
        <v/>
      </c>
      <c r="O283" s="131"/>
      <c r="P283" s="131"/>
      <c r="Q283" s="132"/>
      <c r="R283" s="119"/>
      <c r="S283" s="119"/>
      <c r="T283" s="119"/>
      <c r="U283" s="133" t="str">
        <f>IF([9]回答表!AD49="●",[9]回答表!B492,"")</f>
        <v/>
      </c>
      <c r="V283" s="134"/>
      <c r="W283" s="134"/>
      <c r="X283" s="134"/>
      <c r="Y283" s="134"/>
      <c r="Z283" s="134"/>
      <c r="AA283" s="134"/>
      <c r="AB283" s="134"/>
      <c r="AC283" s="134"/>
      <c r="AD283" s="134"/>
      <c r="AE283" s="134"/>
      <c r="AF283" s="134"/>
      <c r="AG283" s="134"/>
      <c r="AH283" s="134"/>
      <c r="AI283" s="134"/>
      <c r="AJ283" s="135"/>
      <c r="AK283" s="136"/>
      <c r="AL283" s="136"/>
      <c r="AM283" s="133" t="str">
        <f>IF([9]回答表!AD49="●",[9]回答表!B498,"")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IF([9]回答表!R50="●",[9]回答表!B511,"")</f>
        <v>　民営化や民間活用等については、知見やノウハウの不足により検討まで至らなく、広域化については、資本的な面でも今後の人口減少等から収入の減が見込まれている中での実施は現実的ではないと思われます。</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90C1F-3CBB-43DB-A28A-E8EFCA611F64}">
  <sheetPr>
    <pageSetUpPr fitToPage="1"/>
  </sheetPr>
  <dimension ref="A1:CN315"/>
  <sheetViews>
    <sheetView showZeros="0" view="pageBreakPreview" zoomScale="60" zoomScaleNormal="55" workbookViewId="0">
      <selection activeCell="AY122" sqref="AY122:BD12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IF(COUNTIF([11]回答表!K15,"*")&gt;0,[11]回答表!K15,"")</f>
        <v>仙北市</v>
      </c>
      <c r="D11" s="8"/>
      <c r="E11" s="8"/>
      <c r="F11" s="8"/>
      <c r="G11" s="8"/>
      <c r="H11" s="8"/>
      <c r="I11" s="8"/>
      <c r="J11" s="8"/>
      <c r="K11" s="8"/>
      <c r="L11" s="8"/>
      <c r="M11" s="8"/>
      <c r="N11" s="8"/>
      <c r="O11" s="8"/>
      <c r="P11" s="8"/>
      <c r="Q11" s="8"/>
      <c r="R11" s="8"/>
      <c r="S11" s="8"/>
      <c r="T11" s="8"/>
      <c r="U11" s="22" t="str">
        <f>IF(COUNTIF([11]回答表!F17,"*")&gt;0,[11]回答表!F17,"")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IF(COUNTIF([11]回答表!W17,"*")&gt;0,[11]回答表!W17,"")</f>
        <v>介護老人保健施設</v>
      </c>
      <c r="AP11" s="10"/>
      <c r="AQ11" s="10"/>
      <c r="AR11" s="10"/>
      <c r="AS11" s="10"/>
      <c r="AT11" s="10"/>
      <c r="AU11" s="10"/>
      <c r="AV11" s="10"/>
      <c r="AW11" s="10"/>
      <c r="AX11" s="10"/>
      <c r="AY11" s="10"/>
      <c r="AZ11" s="10"/>
      <c r="BA11" s="10"/>
      <c r="BB11" s="10"/>
      <c r="BC11" s="10"/>
      <c r="BD11" s="10"/>
      <c r="BE11" s="10"/>
      <c r="BF11" s="11"/>
      <c r="BG11" s="21" t="str">
        <f>IF(COUNTIF([11]回答表!F19,"*")&gt;0,[11]回答表!F19,"")</f>
        <v>介護保険特別会計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IF([11]回答表!R43="●","●","")</f>
        <v/>
      </c>
      <c r="E24" s="80"/>
      <c r="F24" s="80"/>
      <c r="G24" s="80"/>
      <c r="H24" s="80"/>
      <c r="I24" s="80"/>
      <c r="J24" s="81"/>
      <c r="K24" s="79" t="str">
        <f>IF([11]回答表!R44="●","●","")</f>
        <v/>
      </c>
      <c r="L24" s="80"/>
      <c r="M24" s="80"/>
      <c r="N24" s="80"/>
      <c r="O24" s="80"/>
      <c r="P24" s="80"/>
      <c r="Q24" s="81"/>
      <c r="R24" s="79" t="str">
        <f>IF([11]回答表!R45="●","●","")</f>
        <v/>
      </c>
      <c r="S24" s="80"/>
      <c r="T24" s="80"/>
      <c r="U24" s="80"/>
      <c r="V24" s="80"/>
      <c r="W24" s="80"/>
      <c r="X24" s="81"/>
      <c r="Y24" s="79" t="str">
        <f>IF([11]回答表!R46="●","●","")</f>
        <v/>
      </c>
      <c r="Z24" s="80"/>
      <c r="AA24" s="80"/>
      <c r="AB24" s="80"/>
      <c r="AC24" s="80"/>
      <c r="AD24" s="80"/>
      <c r="AE24" s="81"/>
      <c r="AF24" s="79" t="str">
        <f>IF([11]回答表!R47="●","●","")</f>
        <v/>
      </c>
      <c r="AG24" s="80"/>
      <c r="AH24" s="80"/>
      <c r="AI24" s="80"/>
      <c r="AJ24" s="80"/>
      <c r="AK24" s="80"/>
      <c r="AL24" s="81"/>
      <c r="AM24" s="79" t="str">
        <f>IF([11]回答表!R48="●","●","")</f>
        <v/>
      </c>
      <c r="AN24" s="80"/>
      <c r="AO24" s="80"/>
      <c r="AP24" s="80"/>
      <c r="AQ24" s="80"/>
      <c r="AR24" s="80"/>
      <c r="AS24" s="81"/>
      <c r="AT24" s="79" t="str">
        <f>IF([11]回答表!R49="●","●","")</f>
        <v/>
      </c>
      <c r="AU24" s="80"/>
      <c r="AV24" s="80"/>
      <c r="AW24" s="80"/>
      <c r="AX24" s="80"/>
      <c r="AY24" s="80"/>
      <c r="AZ24" s="81"/>
      <c r="BA24" s="68"/>
      <c r="BB24" s="82" t="str">
        <f>IF([11]回答表!R50="●","●","")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IF([11]回答表!X43="●","●","")</f>
        <v/>
      </c>
      <c r="O36" s="131"/>
      <c r="P36" s="131"/>
      <c r="Q36" s="132"/>
      <c r="R36" s="119"/>
      <c r="S36" s="119"/>
      <c r="T36" s="119"/>
      <c r="U36" s="133" t="str">
        <f>IF([11]回答表!X43="●",[11]回答表!B59,IF([11]回答表!AA43="●",[11]回答表!B79,""))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IF([11]回答表!X43="●",[11]回答表!S65,IF([11]回答表!AA43="●",[11]回答表!S85,""))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IF([11]回答表!X43="●",[11]回答表!G65,IF([11]回答表!AA43="●",[11]回答表!G85,""))</f>
        <v/>
      </c>
      <c r="AN38" s="83"/>
      <c r="AO38" s="83"/>
      <c r="AP38" s="83"/>
      <c r="AQ38" s="83"/>
      <c r="AR38" s="83"/>
      <c r="AS38" s="83"/>
      <c r="AT38" s="153"/>
      <c r="AU38" s="82" t="str">
        <f>IF([11]回答表!X43="●",[11]回答表!G66,IF([11]回答表!AA43="●",[11]回答表!G86,""))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IF([11]回答表!X43="●",[11]回答表!V65,IF([11]回答表!AA43="●",[11]回答表!V85,""))</f>
        <v/>
      </c>
      <c r="BG39" s="16"/>
      <c r="BH39" s="16"/>
      <c r="BI39" s="17"/>
      <c r="BJ39" s="150" t="str">
        <f>IF([11]回答表!X43="●",[11]回答表!V66,IF([11]回答表!AA43="●",[11]回答表!V86,""))</f>
        <v/>
      </c>
      <c r="BK39" s="16"/>
      <c r="BL39" s="16"/>
      <c r="BM39" s="17"/>
      <c r="BN39" s="150" t="str">
        <f>IF([11]回答表!X43="●",[11]回答表!V67,IF([11]回答表!AA43="●",[11]回答表!V87,""))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IF([11]回答表!X43="●",[11]回答表!O71,IF([11]回答表!AA43="●",[11]回答表!O91,""))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IF([11]回答表!X43="●",[11]回答表!O72,IF([11]回答表!AA43="●",[11]回答表!O92,""))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IF([11]回答表!X43="●",[11]回答表!O73,IF([11]回答表!AA43="●",[11]回答表!O93,""))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IF([11]回答表!X43="●",[11]回答表!O74,IF([11]回答表!AA43="●",[11]回答表!O94,""))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IF([11]回答表!X43="●",[11]回答表!AG71,IF([11]回答表!AA43="●",[11]回答表!AG91,""))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IF([11]回答表!X43="●",[11]回答表!AG72,IF([11]回答表!AA43="●",[11]回答表!AG92,""))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IF([11]回答表!AD43="●","●","")</f>
        <v/>
      </c>
      <c r="O51" s="131"/>
      <c r="P51" s="131"/>
      <c r="Q51" s="132"/>
      <c r="R51" s="119"/>
      <c r="S51" s="119"/>
      <c r="T51" s="119"/>
      <c r="U51" s="133" t="str">
        <f>IF([11]回答表!AD43="●",[11]回答表!B99,"")</f>
        <v/>
      </c>
      <c r="V51" s="134"/>
      <c r="W51" s="134"/>
      <c r="X51" s="134"/>
      <c r="Y51" s="134"/>
      <c r="Z51" s="134"/>
      <c r="AA51" s="134"/>
      <c r="AB51" s="134"/>
      <c r="AC51" s="134"/>
      <c r="AD51" s="134"/>
      <c r="AE51" s="134"/>
      <c r="AF51" s="134"/>
      <c r="AG51" s="134"/>
      <c r="AH51" s="134"/>
      <c r="AI51" s="134"/>
      <c r="AJ51" s="135"/>
      <c r="AK51" s="183"/>
      <c r="AL51" s="183"/>
      <c r="AM51" s="133" t="str">
        <f>IF([11]回答表!AD43="●",[11]回答表!B104,"")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IF([11]回答表!X44="●","●","")</f>
        <v/>
      </c>
      <c r="O62" s="131"/>
      <c r="P62" s="131"/>
      <c r="Q62" s="132"/>
      <c r="R62" s="119"/>
      <c r="S62" s="119"/>
      <c r="T62" s="119"/>
      <c r="U62" s="133" t="str">
        <f>IF([11]回答表!X44="●",[11]回答表!B115,IF([11]回答表!AA44="●",[11]回答表!B127,""))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IF([11]回答表!X44="●",[11]回答表!S121,IF([11]回答表!AA44="●",[11]回答表!S133,""))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IF([11]回答表!X44="●",[11]回答表!J121,IF([11]回答表!AA44="●",[11]回答表!J133,""))</f>
        <v/>
      </c>
      <c r="AN65" s="83"/>
      <c r="AO65" s="83"/>
      <c r="AP65" s="83"/>
      <c r="AQ65" s="83"/>
      <c r="AR65" s="83"/>
      <c r="AS65" s="83"/>
      <c r="AT65" s="153"/>
      <c r="AU65" s="82" t="str">
        <f>IF([11]回答表!X44="●",[11]回答表!J122,IF([11]回答表!AA44="●",[11]回答表!J134,""))</f>
        <v/>
      </c>
      <c r="AV65" s="83"/>
      <c r="AW65" s="83"/>
      <c r="AX65" s="83"/>
      <c r="AY65" s="83"/>
      <c r="AZ65" s="83"/>
      <c r="BA65" s="83"/>
      <c r="BB65" s="153"/>
      <c r="BC65" s="120"/>
      <c r="BD65" s="109"/>
      <c r="BE65" s="109"/>
      <c r="BF65" s="150" t="str">
        <f>IF([11]回答表!X44="●",[11]回答表!V121,IF([11]回答表!AA44="●",[11]回答表!V133,""))</f>
        <v/>
      </c>
      <c r="BG65" s="151"/>
      <c r="BH65" s="151"/>
      <c r="BI65" s="151"/>
      <c r="BJ65" s="150" t="str">
        <f>IF([11]回答表!X44="●",[11]回答表!V122,IF([11]回答表!AA44="●",[11]回答表!V134,""))</f>
        <v/>
      </c>
      <c r="BK65" s="151"/>
      <c r="BL65" s="151"/>
      <c r="BM65" s="151"/>
      <c r="BN65" s="150" t="str">
        <f>IF([11]回答表!X44="●",[11]回答表!V123,IF([11]回答表!AA44="●",[11]回答表!V135,""))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IF([11]回答表!AD44="●","●","")</f>
        <v/>
      </c>
      <c r="O74" s="131"/>
      <c r="P74" s="131"/>
      <c r="Q74" s="132"/>
      <c r="R74" s="119"/>
      <c r="S74" s="119"/>
      <c r="T74" s="119"/>
      <c r="U74" s="133" t="str">
        <f>IF([11]回答表!AD44="●",[11]回答表!B140,"")</f>
        <v/>
      </c>
      <c r="V74" s="134"/>
      <c r="W74" s="134"/>
      <c r="X74" s="134"/>
      <c r="Y74" s="134"/>
      <c r="Z74" s="134"/>
      <c r="AA74" s="134"/>
      <c r="AB74" s="134"/>
      <c r="AC74" s="134"/>
      <c r="AD74" s="134"/>
      <c r="AE74" s="134"/>
      <c r="AF74" s="134"/>
      <c r="AG74" s="134"/>
      <c r="AH74" s="134"/>
      <c r="AI74" s="134"/>
      <c r="AJ74" s="135"/>
      <c r="AK74" s="183"/>
      <c r="AL74" s="183"/>
      <c r="AM74" s="133" t="str">
        <f>IF([11]回答表!AD44="●",[11]回答表!B146,"")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IF([11]回答表!F17="水道事業",IF([11]回答表!X45="●","●",""),"")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IF([11]回答表!F17="水道事業",IF([11]回答表!X45="●",[11]回答表!B158,IF([11]回答表!AA45="●",[11]回答表!B223,"")),"")</f>
        <v/>
      </c>
      <c r="AN86" s="201"/>
      <c r="AO86" s="201"/>
      <c r="AP86" s="201"/>
      <c r="AQ86" s="201"/>
      <c r="AR86" s="201"/>
      <c r="AS86" s="201"/>
      <c r="AT86" s="201"/>
      <c r="AU86" s="201"/>
      <c r="AV86" s="201"/>
      <c r="AW86" s="201"/>
      <c r="AX86" s="201"/>
      <c r="AY86" s="201"/>
      <c r="AZ86" s="201"/>
      <c r="BA86" s="201"/>
      <c r="BB86" s="201"/>
      <c r="BC86" s="202"/>
      <c r="BD86" s="109"/>
      <c r="BE86" s="109"/>
      <c r="BF86" s="138" t="str">
        <f>IF([11]回答表!F17="水道事業",IF([11]回答表!X45="●",[11]回答表!B212,IF([11]回答表!AA45="●",[11]回答表!B278,"")),"")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IF([11]回答表!F17="水道事業",IF([11]回答表!X45="●",[11]回答表!J166,IF([11]回答表!AA45="●",[11]回答表!J231,"")),"")</f>
        <v/>
      </c>
      <c r="V88" s="83"/>
      <c r="W88" s="83"/>
      <c r="X88" s="83"/>
      <c r="Y88" s="83"/>
      <c r="Z88" s="83"/>
      <c r="AA88" s="83"/>
      <c r="AB88" s="153"/>
      <c r="AC88" s="82" t="str">
        <f>IF([11]回答表!F17="水道事業",IF([11]回答表!X45="●",[11]回答表!J173,IF([11]回答表!AA45="●",[11]回答表!J238,"")),"")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IF([11]回答表!F17="水道事業",IF([11]回答表!X45="●",[11]回答表!E212,IF([11]回答表!AA45="●",[11]回答表!E278,"")),"")</f>
        <v/>
      </c>
      <c r="BG89" s="151"/>
      <c r="BH89" s="151"/>
      <c r="BI89" s="151"/>
      <c r="BJ89" s="150" t="str">
        <f>IF([11]回答表!F17="水道事業",IF([11]回答表!X45="●",[11]回答表!E213,IF([11]回答表!AA45="●",[11]回答表!E279,"")),"")</f>
        <v/>
      </c>
      <c r="BK89" s="151"/>
      <c r="BL89" s="151"/>
      <c r="BM89" s="151"/>
      <c r="BN89" s="150" t="str">
        <f>IF([11]回答表!F17="水道事業",IF([11]回答表!X45="●",[11]回答表!E214,IF([11]回答表!AA45="●",[11]回答表!E280,"")),"")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IF([11]回答表!F17="水道事業",IF([11]回答表!AA45="●","●",""),"")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IF([11]回答表!F17="水道事業",IF([11]回答表!X45="●",[11]回答表!J176,IF([11]回答表!AA45="●",[11]回答表!J241,"")),"")</f>
        <v/>
      </c>
      <c r="V93" s="83"/>
      <c r="W93" s="83"/>
      <c r="X93" s="83"/>
      <c r="Y93" s="83"/>
      <c r="Z93" s="83"/>
      <c r="AA93" s="83"/>
      <c r="AB93" s="153"/>
      <c r="AC93" s="82" t="str">
        <f>IF([11]回答表!F17="水道事業",IF([11]回答表!X45="●",[11]回答表!J180,IF([11]回答表!AA45="●",[11]回答表!J245,"")),"")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IF([11]回答表!F17="水道事業",IF([11]回答表!AD45="●","●",""),"")</f>
        <v/>
      </c>
      <c r="O98" s="131"/>
      <c r="P98" s="131"/>
      <c r="Q98" s="132"/>
      <c r="R98" s="119"/>
      <c r="S98" s="119"/>
      <c r="T98" s="119"/>
      <c r="U98" s="133" t="str">
        <f>IF([11]回答表!F17="水道事業",IF([11]回答表!AD45="●",[11]回答表!B289,""),"")</f>
        <v/>
      </c>
      <c r="V98" s="134"/>
      <c r="W98" s="134"/>
      <c r="X98" s="134"/>
      <c r="Y98" s="134"/>
      <c r="Z98" s="134"/>
      <c r="AA98" s="134"/>
      <c r="AB98" s="134"/>
      <c r="AC98" s="134"/>
      <c r="AD98" s="134"/>
      <c r="AE98" s="134"/>
      <c r="AF98" s="134"/>
      <c r="AG98" s="134"/>
      <c r="AH98" s="134"/>
      <c r="AI98" s="134"/>
      <c r="AJ98" s="135"/>
      <c r="AK98" s="183"/>
      <c r="AL98" s="183"/>
      <c r="AM98" s="133" t="str">
        <f>IF([11]回答表!F17="水道事業",IF([11]回答表!AD45="●",[11]回答表!B295,""),"")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IF([11]回答表!F17="簡易水道事業",IF([11]回答表!X45="●",[11]回答表!B158,IF([11]回答表!AA45="●",[11]回答表!B223,"")),"")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IF([11]回答表!F17="簡易水道事業",IF([11]回答表!X45="●",[11]回答表!B212,IF([11]回答表!AA45="●",[11]回答表!B278,"")),"")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IF([11]回答表!F17="簡易水道事業",IF([11]回答表!X45="●","●",""),"")</f>
        <v/>
      </c>
      <c r="O112" s="131"/>
      <c r="P112" s="131"/>
      <c r="Q112" s="132"/>
      <c r="R112" s="119"/>
      <c r="S112" s="119"/>
      <c r="T112" s="119"/>
      <c r="U112" s="82" t="str">
        <f>IF([11]回答表!F17="簡易水道事業",IF([11]回答表!X45="●",[11]回答表!Y185,IF([11]回答表!AA45="●",[11]回答表!Y251,"")),"")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IF([11]回答表!F17="簡易水道事業",IF([11]回答表!X45="●",[11]回答表!E212,IF([11]回答表!AA45="●",[11]回答表!E278,"")),"")</f>
        <v/>
      </c>
      <c r="BG113" s="151"/>
      <c r="BH113" s="151"/>
      <c r="BI113" s="151"/>
      <c r="BJ113" s="150" t="str">
        <f>IF([11]回答表!F17="簡易水道事業",IF([11]回答表!X45="●",[11]回答表!E213,IF([11]回答表!AA45="●",[11]回答表!E279,"")),"")</f>
        <v/>
      </c>
      <c r="BK113" s="151"/>
      <c r="BL113" s="151"/>
      <c r="BM113" s="151"/>
      <c r="BN113" s="150" t="str">
        <f>IF([11]回答表!F17="簡易水道事業",IF([11]回答表!X45="●",[11]回答表!E214,IF([11]回答表!AA45="●",[11]回答表!E280,"")),"")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IF([11]回答表!F17="簡易水道事業",IF([11]回答表!X45="●",[11]回答表!Y186,IF([11]回答表!AA45="●",[11]回答表!Y252,"")),"")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IF([11]回答表!F17="簡易水道事業",IF([11]回答表!AA45="●","●",""),"")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IF([11]回答表!F17="簡易水道事業",IF([11]回答表!X45="●",[11]回答表!Y187,IF([11]回答表!AA45="●",[11]回答表!Y253,"")),"")</f>
        <v/>
      </c>
      <c r="V122" s="83"/>
      <c r="W122" s="83"/>
      <c r="X122" s="83"/>
      <c r="Y122" s="83"/>
      <c r="Z122" s="83"/>
      <c r="AA122" s="83"/>
      <c r="AB122" s="83"/>
      <c r="AC122" s="83"/>
      <c r="AD122" s="83"/>
      <c r="AE122" s="83"/>
      <c r="AF122" s="83"/>
      <c r="AG122" s="83"/>
      <c r="AH122" s="83"/>
      <c r="AI122" s="83"/>
      <c r="AJ122" s="153"/>
      <c r="AK122" s="68"/>
      <c r="AL122" s="68"/>
      <c r="AM122" s="233" t="str">
        <f>IF([11]回答表!F17="簡易水道事業",IF([11]回答表!X45="●",[11]回答表!Y189,IF([11]回答表!AA45="●",[11]回答表!Y255,"")),"")</f>
        <v/>
      </c>
      <c r="AN122" s="233"/>
      <c r="AO122" s="233"/>
      <c r="AP122" s="233"/>
      <c r="AQ122" s="233"/>
      <c r="AR122" s="233"/>
      <c r="AS122" s="233" t="str">
        <f>IF([11]回答表!F17="簡易水道事業",IF([11]回答表!X45="●",[11]回答表!Y190,IF([11]回答表!AA45="●",[11]回答表!Y256,"")),"")</f>
        <v/>
      </c>
      <c r="AT122" s="233"/>
      <c r="AU122" s="233"/>
      <c r="AV122" s="233"/>
      <c r="AW122" s="233"/>
      <c r="AX122" s="233"/>
      <c r="AY122" s="233" t="str">
        <f>IF([11]回答表!F17="簡易水道事業",IF([11]回答表!X45="●",[11]回答表!Y191,IF([11]回答表!AA45="●",[11]回答表!Y257,"")),"")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IF([11]回答表!F17="簡易水道事業",IF([11]回答表!AD45="●","●",""),"")</f>
        <v/>
      </c>
      <c r="O127" s="131"/>
      <c r="P127" s="131"/>
      <c r="Q127" s="132"/>
      <c r="R127" s="119"/>
      <c r="S127" s="119"/>
      <c r="T127" s="119"/>
      <c r="U127" s="133" t="str">
        <f>IF([11]回答表!F17="簡易水道事業",IF([11]回答表!AD45="●",[11]回答表!B289,""),"")</f>
        <v/>
      </c>
      <c r="V127" s="134"/>
      <c r="W127" s="134"/>
      <c r="X127" s="134"/>
      <c r="Y127" s="134"/>
      <c r="Z127" s="134"/>
      <c r="AA127" s="134"/>
      <c r="AB127" s="134"/>
      <c r="AC127" s="134"/>
      <c r="AD127" s="134"/>
      <c r="AE127" s="134"/>
      <c r="AF127" s="134"/>
      <c r="AG127" s="134"/>
      <c r="AH127" s="134"/>
      <c r="AI127" s="134"/>
      <c r="AJ127" s="135"/>
      <c r="AK127" s="183"/>
      <c r="AL127" s="183"/>
      <c r="AM127" s="133" t="str">
        <f>IF([11]回答表!F17="簡易水道事業",IF([11]回答表!AD45="●",[11]回答表!B295,""),"")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IF([11]回答表!F17="下水道事業",IF([11]回答表!X45="●","●",""),"")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IF([11]回答表!F17="下水道事業",IF([11]回答表!X45="●",[11]回答表!B158,IF([11]回答表!AA45="●",[11]回答表!B223,"")),"")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IF([11]回答表!F17="下水道事業",IF([11]回答表!X45="●",[11]回答表!B212,IF([11]回答表!AA45="●",[11]回答表!B278,"")),"")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IF([11]回答表!F17="下水道事業",IF([11]回答表!X45="●",[11]回答表!Y193,IF([11]回答表!AA45="●",[11]回答表!Y259,"")),"")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IF([11]回答表!F17="下水道事業",IF([11]回答表!X45="●",[11]回答表!E212,IF([11]回答表!AA45="●",[11]回答表!E278,"")),"")</f>
        <v/>
      </c>
      <c r="BG142" s="151"/>
      <c r="BH142" s="151"/>
      <c r="BI142" s="151"/>
      <c r="BJ142" s="150" t="str">
        <f>IF([11]回答表!F17="下水道事業",IF([11]回答表!X45="●",[11]回答表!E213,IF([11]回答表!AA45="●",[11]回答表!E279,"")),"")</f>
        <v/>
      </c>
      <c r="BK142" s="151"/>
      <c r="BL142" s="151"/>
      <c r="BM142" s="151"/>
      <c r="BN142" s="150" t="str">
        <f>IF([11]回答表!F17="下水道事業",IF([11]回答表!X45="●",[11]回答表!E214,IF([11]回答表!AA45="●",[11]回答表!E280,"")),"")</f>
        <v/>
      </c>
      <c r="BO142" s="151"/>
      <c r="BP142" s="151"/>
      <c r="BQ142" s="152"/>
      <c r="BR142" s="112"/>
      <c r="BX142" s="200" t="str">
        <f>IF([11]回答表!AQ20="下水道事業",IF([11]回答表!BI48="○",[11]回答表!AM161,IF([11]回答表!BL48="○",[11]回答表!AM226,"")),"")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IF([11]回答表!F17="下水道事業",IF([11]回答表!X45="●",[11]回答表!Y195,IF([11]回答表!AA45="●",[11]回答表!Y261,"")),"")</f>
        <v/>
      </c>
      <c r="V147" s="83"/>
      <c r="W147" s="83"/>
      <c r="X147" s="83"/>
      <c r="Y147" s="83"/>
      <c r="Z147" s="83"/>
      <c r="AA147" s="83"/>
      <c r="AB147" s="153"/>
      <c r="AC147" s="82" t="str">
        <f>IF([11]回答表!F17="下水道事業",IF([11]回答表!X45="●",[11]回答表!Y196,IF([11]回答表!AA45="●",[11]回答表!Y262,"")),"")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IF([11]回答表!F17="下水道事業",IF([11]回答表!X45="●",[11]回答表!Y198,IF([11]回答表!AA45="●",[11]回答表!Y264,"")),"")</f>
        <v/>
      </c>
      <c r="V153" s="83"/>
      <c r="W153" s="83"/>
      <c r="X153" s="83"/>
      <c r="Y153" s="83"/>
      <c r="Z153" s="83"/>
      <c r="AA153" s="83"/>
      <c r="AB153" s="153"/>
      <c r="AC153" s="82" t="str">
        <f>IF([11]回答表!F17="下水道事業",IF([11]回答表!X45="●",[11]回答表!Y199,IF([11]回答表!AA45="●",[11]回答表!Y265,"")),"")</f>
        <v/>
      </c>
      <c r="AD153" s="83"/>
      <c r="AE153" s="83"/>
      <c r="AF153" s="83"/>
      <c r="AG153" s="83"/>
      <c r="AH153" s="83"/>
      <c r="AI153" s="83"/>
      <c r="AJ153" s="153"/>
      <c r="AK153" s="82" t="str">
        <f>IF([11]回答表!F17="下水道事業",IF([11]回答表!X45="●",[11]回答表!Y200,IF([11]回答表!AA45="●",[11]回答表!Y266,"")),"")</f>
        <v/>
      </c>
      <c r="AL153" s="83"/>
      <c r="AM153" s="83"/>
      <c r="AN153" s="83"/>
      <c r="AO153" s="83"/>
      <c r="AP153" s="83"/>
      <c r="AQ153" s="83"/>
      <c r="AR153" s="153"/>
      <c r="AS153" s="82" t="str">
        <f>IF([11]回答表!F17="下水道事業",IF([11]回答表!X45="●",[11]回答表!Y201,IF([11]回答表!AA45="●",[11]回答表!Y267,"")),"")</f>
        <v/>
      </c>
      <c r="AT153" s="83"/>
      <c r="AU153" s="83"/>
      <c r="AV153" s="83"/>
      <c r="AW153" s="83"/>
      <c r="AX153" s="83"/>
      <c r="AY153" s="83"/>
      <c r="AZ153" s="153"/>
      <c r="BA153" s="82" t="str">
        <f>IF([11]回答表!F17="下水道事業",IF([11]回答表!X45="●",[11]回答表!Y202,IF([11]回答表!AA45="●",[11]回答表!Y268,"")),"")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IF([11]回答表!F17="下水道事業",IF([11]回答表!AA45="●","●",""),"")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IF([11]回答表!F17="下水道事業",IF([11]回答表!X45="●",[11]回答表!Y207,IF([11]回答表!AA45="●",[11]回答表!Y273,"")),"")</f>
        <v/>
      </c>
      <c r="V159" s="83"/>
      <c r="W159" s="83"/>
      <c r="X159" s="83"/>
      <c r="Y159" s="83"/>
      <c r="Z159" s="83"/>
      <c r="AA159" s="83"/>
      <c r="AB159" s="153"/>
      <c r="AC159" s="82" t="str">
        <f>IF([11]回答表!F17="下水道事業",IF([11]回答表!X45="●",[11]回答表!Y208,IF([11]回答表!AA45="●",[11]回答表!Y274,"")),"")</f>
        <v/>
      </c>
      <c r="AD159" s="83"/>
      <c r="AE159" s="83"/>
      <c r="AF159" s="83"/>
      <c r="AG159" s="83"/>
      <c r="AH159" s="83"/>
      <c r="AI159" s="83"/>
      <c r="AJ159" s="153"/>
      <c r="AK159" s="82" t="str">
        <f>IF([11]回答表!F17="下水道事業",IF([11]回答表!X45="●",[11]回答表!Y209,IF([11]回答表!AA45="●",[11]回答表!Y275,"")),"")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IF([11]回答表!F17="下水道事業",IF([11]回答表!AD45="●","●",""),"")</f>
        <v/>
      </c>
      <c r="O164" s="131"/>
      <c r="P164" s="131"/>
      <c r="Q164" s="132"/>
      <c r="R164" s="119"/>
      <c r="S164" s="119"/>
      <c r="T164" s="119"/>
      <c r="U164" s="133" t="str">
        <f>IF([11]回答表!F17="下水道事業",IF([11]回答表!AD45="●",[11]回答表!B289,""),"")</f>
        <v/>
      </c>
      <c r="V164" s="134"/>
      <c r="W164" s="134"/>
      <c r="X164" s="134"/>
      <c r="Y164" s="134"/>
      <c r="Z164" s="134"/>
      <c r="AA164" s="134"/>
      <c r="AB164" s="134"/>
      <c r="AC164" s="134"/>
      <c r="AD164" s="134"/>
      <c r="AE164" s="134"/>
      <c r="AF164" s="134"/>
      <c r="AG164" s="134"/>
      <c r="AH164" s="134"/>
      <c r="AI164" s="134"/>
      <c r="AJ164" s="135"/>
      <c r="AK164" s="183"/>
      <c r="AL164" s="183"/>
      <c r="AM164" s="133" t="str">
        <f>IF([11]回答表!F17="下水道事業",IF([11]回答表!AD45="●",[11]回答表!B295,""),"")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IF([11]回答表!BD17="●",IF([11]回答表!X45="●","●",""),"")</f>
        <v/>
      </c>
      <c r="O176" s="131"/>
      <c r="P176" s="131"/>
      <c r="Q176" s="132"/>
      <c r="R176" s="119"/>
      <c r="S176" s="119"/>
      <c r="T176" s="119"/>
      <c r="U176" s="133" t="str">
        <f>IF([11]回答表!BD17="●",IF([11]回答表!X45="●",[11]回答表!B158,IF([11]回答表!AA45="●",[11]回答表!B223,"")),"")</f>
        <v/>
      </c>
      <c r="V176" s="134"/>
      <c r="W176" s="134"/>
      <c r="X176" s="134"/>
      <c r="Y176" s="134"/>
      <c r="Z176" s="134"/>
      <c r="AA176" s="134"/>
      <c r="AB176" s="134"/>
      <c r="AC176" s="134"/>
      <c r="AD176" s="134"/>
      <c r="AE176" s="134"/>
      <c r="AF176" s="134"/>
      <c r="AG176" s="134"/>
      <c r="AH176" s="134"/>
      <c r="AI176" s="134"/>
      <c r="AJ176" s="135"/>
      <c r="AK176" s="136"/>
      <c r="AL176" s="136"/>
      <c r="AM176" s="138" t="str">
        <f>IF([11]回答表!BD17="●",IF([11]回答表!X45="●",[11]回答表!B212,IF([11]回答表!AA45="●",[11]回答表!B278,"")),"")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IF([11]回答表!BD17="●",IF([11]回答表!X45="●",[11]回答表!E212,IF([11]回答表!AA45="●",[11]回答表!E278,"")),"")</f>
        <v/>
      </c>
      <c r="AN179" s="151"/>
      <c r="AO179" s="151"/>
      <c r="AP179" s="151"/>
      <c r="AQ179" s="150" t="str">
        <f>IF([11]回答表!BD17="●",IF([11]回答表!X45="●",[11]回答表!E213,IF([11]回答表!AA45="●",[11]回答表!E279,"")),"")</f>
        <v/>
      </c>
      <c r="AR179" s="151"/>
      <c r="AS179" s="151"/>
      <c r="AT179" s="151"/>
      <c r="AU179" s="150" t="str">
        <f>IF([11]回答表!BD17="●",IF([11]回答表!X45="●",[11]回答表!E214,IF([11]回答表!AA45="●",[11]回答表!E280,"")),"")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IF([11]回答表!BD17="●",IF([11]回答表!AA45="●","●",""),"")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IF([11]回答表!BD17="●",IF([11]回答表!AD45="●","●",""),"")</f>
        <v/>
      </c>
      <c r="O188" s="131"/>
      <c r="P188" s="131"/>
      <c r="Q188" s="132"/>
      <c r="R188" s="119"/>
      <c r="S188" s="119"/>
      <c r="T188" s="119"/>
      <c r="U188" s="133" t="str">
        <f>IF([11]回答表!BD17="●",IF([11]回答表!AD45="●",[11]回答表!B289,""),"")</f>
        <v/>
      </c>
      <c r="V188" s="134"/>
      <c r="W188" s="134"/>
      <c r="X188" s="134"/>
      <c r="Y188" s="134"/>
      <c r="Z188" s="134"/>
      <c r="AA188" s="134"/>
      <c r="AB188" s="134"/>
      <c r="AC188" s="134"/>
      <c r="AD188" s="134"/>
      <c r="AE188" s="134"/>
      <c r="AF188" s="134"/>
      <c r="AG188" s="134"/>
      <c r="AH188" s="134"/>
      <c r="AI188" s="134"/>
      <c r="AJ188" s="135"/>
      <c r="AK188" s="183"/>
      <c r="AL188" s="183"/>
      <c r="AM188" s="133" t="str">
        <f>IF([11]回答表!BD17="●",IF([11]回答表!AD45="●",[11]回答表!B295,""),"")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IF([11]回答表!X46="●","●","")</f>
        <v/>
      </c>
      <c r="O200" s="131"/>
      <c r="P200" s="131"/>
      <c r="Q200" s="132"/>
      <c r="R200" s="119"/>
      <c r="S200" s="119"/>
      <c r="T200" s="119"/>
      <c r="U200" s="133" t="str">
        <f>IF([11]回答表!X46="●",[11]回答表!B307,IF([11]回答表!AA46="●",[11]回答表!B324,""))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IF([11]回答表!X46="●",[11]回答表!U313,IF([11]回答表!AA46="●",[11]回答表!U330,""))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IF([11]回答表!X46="●",[11]回答表!G313,IF([11]回答表!AA46="●",[11]回答表!G330,""))</f>
        <v/>
      </c>
      <c r="AN203" s="83"/>
      <c r="AO203" s="83"/>
      <c r="AP203" s="83"/>
      <c r="AQ203" s="83"/>
      <c r="AR203" s="83"/>
      <c r="AS203" s="83"/>
      <c r="AT203" s="153"/>
      <c r="AU203" s="82" t="str">
        <f>IF([11]回答表!X46="●",[11]回答表!G314,IF([11]回答表!AA46="●",[11]回答表!G331,""))</f>
        <v/>
      </c>
      <c r="AV203" s="83"/>
      <c r="AW203" s="83"/>
      <c r="AX203" s="83"/>
      <c r="AY203" s="83"/>
      <c r="AZ203" s="83"/>
      <c r="BA203" s="83"/>
      <c r="BB203" s="153"/>
      <c r="BC203" s="120"/>
      <c r="BD203" s="109"/>
      <c r="BE203" s="109"/>
      <c r="BF203" s="150" t="str">
        <f>IF([11]回答表!X46="●",[11]回答表!X313,IF([11]回答表!AA46="●",[11]回答表!X330,""))</f>
        <v/>
      </c>
      <c r="BG203" s="151"/>
      <c r="BH203" s="151"/>
      <c r="BI203" s="151"/>
      <c r="BJ203" s="150" t="str">
        <f>IF([11]回答表!X46="●",[11]回答表!X314,IF([11]回答表!AA46="●",[11]回答表!X331,""))</f>
        <v/>
      </c>
      <c r="BK203" s="151"/>
      <c r="BL203" s="151"/>
      <c r="BM203" s="152"/>
      <c r="BN203" s="150" t="str">
        <f>IF([11]回答表!X46="●",[11]回答表!X315,IF([11]回答表!AA46="●",[11]回答表!X332,""))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IF([11]回答表!AD46="●","●","")</f>
        <v/>
      </c>
      <c r="O212" s="131"/>
      <c r="P212" s="131"/>
      <c r="Q212" s="132"/>
      <c r="R212" s="119"/>
      <c r="S212" s="119"/>
      <c r="T212" s="119"/>
      <c r="U212" s="133" t="str">
        <f>IF([11]回答表!AD46="●",[11]回答表!B337,"")</f>
        <v/>
      </c>
      <c r="V212" s="134"/>
      <c r="W212" s="134"/>
      <c r="X212" s="134"/>
      <c r="Y212" s="134"/>
      <c r="Z212" s="134"/>
      <c r="AA212" s="134"/>
      <c r="AB212" s="134"/>
      <c r="AC212" s="134"/>
      <c r="AD212" s="134"/>
      <c r="AE212" s="134"/>
      <c r="AF212" s="134"/>
      <c r="AG212" s="134"/>
      <c r="AH212" s="134"/>
      <c r="AI212" s="134"/>
      <c r="AJ212" s="135"/>
      <c r="AK212" s="259"/>
      <c r="AL212" s="259"/>
      <c r="AM212" s="133" t="str">
        <f>IF([11]回答表!AD46="●",[11]回答表!B343,"")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IF([11]回答表!X47="●","●","")</f>
        <v/>
      </c>
      <c r="O224" s="131"/>
      <c r="P224" s="131"/>
      <c r="Q224" s="132"/>
      <c r="R224" s="119"/>
      <c r="S224" s="119"/>
      <c r="T224" s="119"/>
      <c r="U224" s="133" t="str">
        <f>IF([11]回答表!X47="●",[11]回答表!B356,IF([11]回答表!AA47="●",[11]回答表!B379,""))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IF([11]回答表!X47="●",[11]回答表!B362,"")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IF([11]回答表!X47="●",[11]回答表!B368,IF([11]回答表!AA47="●",[11]回答表!B385,""))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IF([11]回答表!X47="●",[11]回答表!E368,IF([11]回答表!AA47="●",[11]回答表!E385,""))</f>
        <v/>
      </c>
      <c r="BG227" s="151"/>
      <c r="BH227" s="151"/>
      <c r="BI227" s="151"/>
      <c r="BJ227" s="150" t="str">
        <f>IF([11]回答表!X47="●",[11]回答表!E369,IF([11]回答表!AA47="●",[11]回答表!E386,""))</f>
        <v/>
      </c>
      <c r="BK227" s="151"/>
      <c r="BL227" s="151"/>
      <c r="BM227" s="152"/>
      <c r="BN227" s="150" t="str">
        <f>IF([11]回答表!X47="●",[11]回答表!E370,IF([11]回答表!AA47="●",[11]回答表!E387,""))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IF([11]回答表!AD47="●","●","")</f>
        <v/>
      </c>
      <c r="O236" s="131"/>
      <c r="P236" s="131"/>
      <c r="Q236" s="132"/>
      <c r="R236" s="119"/>
      <c r="S236" s="119"/>
      <c r="T236" s="119"/>
      <c r="U236" s="133" t="str">
        <f>IF([11]回答表!AD47="●",[11]回答表!B392,"")</f>
        <v/>
      </c>
      <c r="V236" s="134"/>
      <c r="W236" s="134"/>
      <c r="X236" s="134"/>
      <c r="Y236" s="134"/>
      <c r="Z236" s="134"/>
      <c r="AA236" s="134"/>
      <c r="AB236" s="134"/>
      <c r="AC236" s="134"/>
      <c r="AD236" s="134"/>
      <c r="AE236" s="134"/>
      <c r="AF236" s="134"/>
      <c r="AG236" s="134"/>
      <c r="AH236" s="134"/>
      <c r="AI236" s="134"/>
      <c r="AJ236" s="135"/>
      <c r="AK236" s="259"/>
      <c r="AL236" s="259"/>
      <c r="AM236" s="133" t="str">
        <f>IF([11]回答表!AD47="●",[11]回答表!B398,"")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IF([11]回答表!X48="●","●","")</f>
        <v/>
      </c>
      <c r="O248" s="131"/>
      <c r="P248" s="131"/>
      <c r="Q248" s="132"/>
      <c r="R248" s="119"/>
      <c r="S248" s="119"/>
      <c r="T248" s="119"/>
      <c r="U248" s="133" t="str">
        <f>IF([11]回答表!X48="●",[11]回答表!B411,IF([11]回答表!AA48="●",[11]回答表!B425,""))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IF([11]回答表!X48="●",[11]回答表!BC418,IF([11]回答表!AA48="●",[11]回答表!BC432,""))</f>
        <v/>
      </c>
      <c r="AR248" s="272"/>
      <c r="AS248" s="272"/>
      <c r="AT248" s="272"/>
      <c r="AU248" s="273" t="s">
        <v>73</v>
      </c>
      <c r="AV248" s="274"/>
      <c r="AW248" s="274"/>
      <c r="AX248" s="275"/>
      <c r="AY248" s="272" t="str">
        <f>IF([11]回答表!X48="●",[11]回答表!BC423,IF([11]回答表!AA48="●",[11]回答表!BC437,""))</f>
        <v/>
      </c>
      <c r="AZ248" s="272"/>
      <c r="BA248" s="272"/>
      <c r="BB248" s="272"/>
      <c r="BC248" s="120"/>
      <c r="BD248" s="109"/>
      <c r="BE248" s="109"/>
      <c r="BF248" s="138" t="str">
        <f>IF([11]回答表!X48="●",[11]回答表!S417,IF([11]回答表!AA48="●",[11]回答表!S431,""))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IF([11]回答表!X48="●",[11]回答表!BC419,IF([11]回答表!AA48="●",[11]回答表!BC433,""))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IF([11]回答表!X48="●",[11]回答表!V417,IF([11]回答表!AA48="●",[11]回答表!V431,""))</f>
        <v/>
      </c>
      <c r="BG251" s="151"/>
      <c r="BH251" s="151"/>
      <c r="BI251" s="151"/>
      <c r="BJ251" s="150" t="str">
        <f>IF([11]回答表!X48="●",[11]回答表!V418,IF([11]回答表!AA48="●",[11]回答表!V432,""))</f>
        <v/>
      </c>
      <c r="BK251" s="151"/>
      <c r="BL251" s="151"/>
      <c r="BM251" s="152"/>
      <c r="BN251" s="150" t="str">
        <f>IF([11]回答表!X48="●",[11]回答表!V419,IF([11]回答表!AA48="●",[11]回答表!V433,""))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IF([11]回答表!X48="●",[11]回答表!BC420,IF([11]回答表!AA48="●",[11]回答表!BC434,""))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IF([11]回答表!X48="●",[11]回答表!BC424,IF([11]回答表!AA48="●",[11]回答表!BC438,""))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IF([11]回答表!X48="●",[11]回答表!BC421,IF([11]回答表!AA48="●",[11]回答表!BC435,""))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IF([11]回答表!X48="●",[11]回答表!BC422,IF([11]回答表!AA48="●",[11]回答表!BC436,""))</f>
        <v/>
      </c>
      <c r="AR256" s="272"/>
      <c r="AS256" s="272"/>
      <c r="AT256" s="272"/>
      <c r="AU256" s="224" t="s">
        <v>79</v>
      </c>
      <c r="AV256" s="225"/>
      <c r="AW256" s="225"/>
      <c r="AX256" s="226"/>
      <c r="AY256" s="282" t="str">
        <f>IF([11]回答表!X48="●",[11]回答表!BC425,IF([11]回答表!AA48="●",[11]回答表!BC439,""))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IF([11]回答表!AD48="●","●","")</f>
        <v/>
      </c>
      <c r="O260" s="131"/>
      <c r="P260" s="131"/>
      <c r="Q260" s="132"/>
      <c r="R260" s="119"/>
      <c r="S260" s="119"/>
      <c r="T260" s="119"/>
      <c r="U260" s="133" t="str">
        <f>IF([11]回答表!AD48="●",[11]回答表!B439,"")</f>
        <v/>
      </c>
      <c r="V260" s="134"/>
      <c r="W260" s="134"/>
      <c r="X260" s="134"/>
      <c r="Y260" s="134"/>
      <c r="Z260" s="134"/>
      <c r="AA260" s="134"/>
      <c r="AB260" s="134"/>
      <c r="AC260" s="134"/>
      <c r="AD260" s="134"/>
      <c r="AE260" s="134"/>
      <c r="AF260" s="134"/>
      <c r="AG260" s="134"/>
      <c r="AH260" s="134"/>
      <c r="AI260" s="134"/>
      <c r="AJ260" s="135"/>
      <c r="AK260" s="183"/>
      <c r="AL260" s="183"/>
      <c r="AM260" s="133" t="str">
        <f>IF([11]回答表!AD48="●",[11]回答表!B445,"")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IF([11]回答表!X49="●","●","")</f>
        <v/>
      </c>
      <c r="O271" s="131"/>
      <c r="P271" s="131"/>
      <c r="Q271" s="132"/>
      <c r="R271" s="119"/>
      <c r="S271" s="119"/>
      <c r="T271" s="119"/>
      <c r="U271" s="133" t="str">
        <f>IF([11]回答表!X49="●",[11]回答表!B458,IF([11]回答表!AA49="●",[11]回答表!B475,""))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IF([11]回答表!X49="●",[11]回答表!B468,IF([11]回答表!AA49="●",[11]回答表!B485,""))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IF([11]回答表!X49="●",[11]回答表!G464,IF([11]回答表!AA49="●",[11]回答表!G481,""))</f>
        <v/>
      </c>
      <c r="AN273" s="83"/>
      <c r="AO273" s="83"/>
      <c r="AP273" s="83"/>
      <c r="AQ273" s="83"/>
      <c r="AR273" s="83"/>
      <c r="AS273" s="83"/>
      <c r="AT273" s="153"/>
      <c r="AU273" s="82" t="str">
        <f>IF([11]回答表!X49="●",[11]回答表!G465,IF([11]回答表!AA49="●",[11]回答表!G482,""))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IF([11]回答表!X49="●",[11]回答表!E468,IF([11]回答表!AA49="●",[11]回答表!E485,""))</f>
        <v/>
      </c>
      <c r="BG274" s="151"/>
      <c r="BH274" s="151"/>
      <c r="BI274" s="151"/>
      <c r="BJ274" s="150" t="str">
        <f>IF([11]回答表!X49="●",[11]回答表!E469,IF([11]回答表!AA49="●",[11]回答表!E486,""))</f>
        <v/>
      </c>
      <c r="BK274" s="151"/>
      <c r="BL274" s="151"/>
      <c r="BM274" s="152"/>
      <c r="BN274" s="150" t="str">
        <f>IF([11]回答表!X49="●",[11]回答表!E470,IF([11]回答表!AA49="●",[11]回答表!E487,""))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IF([11]回答表!AD49="●","●","")</f>
        <v/>
      </c>
      <c r="O283" s="131"/>
      <c r="P283" s="131"/>
      <c r="Q283" s="132"/>
      <c r="R283" s="119"/>
      <c r="S283" s="119"/>
      <c r="T283" s="119"/>
      <c r="U283" s="133" t="str">
        <f>IF([11]回答表!AD49="●",[11]回答表!B492,"")</f>
        <v/>
      </c>
      <c r="V283" s="134"/>
      <c r="W283" s="134"/>
      <c r="X283" s="134"/>
      <c r="Y283" s="134"/>
      <c r="Z283" s="134"/>
      <c r="AA283" s="134"/>
      <c r="AB283" s="134"/>
      <c r="AC283" s="134"/>
      <c r="AD283" s="134"/>
      <c r="AE283" s="134"/>
      <c r="AF283" s="134"/>
      <c r="AG283" s="134"/>
      <c r="AH283" s="134"/>
      <c r="AI283" s="134"/>
      <c r="AJ283" s="135"/>
      <c r="AK283" s="136"/>
      <c r="AL283" s="136"/>
      <c r="AM283" s="133" t="str">
        <f>IF([11]回答表!AD49="●",[11]回答表!B498,"")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IF([11]回答表!R50="●",[11]回答表!B511,"")</f>
        <v>　
 　令和元年度中に今後の運営方針について「にしき園運営検討委員会」が開かれ、運営主体と運営形態についての検討がなされた。そのことを踏まえ、令和2年3月議会において、当面市で運営し、令和6年度からの県の第9期介護保険事業支援計画策定前までに再び検討するとの表明があった。</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BE69A-7713-4A67-9096-BA3D1F8A259C}">
  <sheetPr>
    <pageSetUpPr fitToPage="1"/>
  </sheetPr>
  <dimension ref="A1:CN315"/>
  <sheetViews>
    <sheetView showZeros="0" view="pageBreakPreview" zoomScale="60" zoomScaleNormal="55" workbookViewId="0">
      <selection activeCell="AL41" sqref="AL41"/>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IF(COUNTIF([12]回答表!K15,"*")&gt;0,[12]回答表!K15,"")</f>
        <v>仙北市</v>
      </c>
      <c r="D11" s="8"/>
      <c r="E11" s="8"/>
      <c r="F11" s="8"/>
      <c r="G11" s="8"/>
      <c r="H11" s="8"/>
      <c r="I11" s="8"/>
      <c r="J11" s="8"/>
      <c r="K11" s="8"/>
      <c r="L11" s="8"/>
      <c r="M11" s="8"/>
      <c r="N11" s="8"/>
      <c r="O11" s="8"/>
      <c r="P11" s="8"/>
      <c r="Q11" s="8"/>
      <c r="R11" s="8"/>
      <c r="S11" s="8"/>
      <c r="T11" s="8"/>
      <c r="U11" s="22" t="str">
        <f>IF(COUNTIF([12]回答表!F17,"*")&gt;0,[12]回答表!F17,"")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IF(COUNTIF([12]回答表!W17,"*")&gt;0,[12]回答表!W17,"")</f>
        <v>指定介護老人福祉施設</v>
      </c>
      <c r="AP11" s="10"/>
      <c r="AQ11" s="10"/>
      <c r="AR11" s="10"/>
      <c r="AS11" s="10"/>
      <c r="AT11" s="10"/>
      <c r="AU11" s="10"/>
      <c r="AV11" s="10"/>
      <c r="AW11" s="10"/>
      <c r="AX11" s="10"/>
      <c r="AY11" s="10"/>
      <c r="AZ11" s="10"/>
      <c r="BA11" s="10"/>
      <c r="BB11" s="10"/>
      <c r="BC11" s="10"/>
      <c r="BD11" s="10"/>
      <c r="BE11" s="10"/>
      <c r="BF11" s="11"/>
      <c r="BG11" s="21" t="str">
        <f>IF(COUNTIF([12]回答表!F19,"*")&gt;0,[12]回答表!F19,"")</f>
        <v>介護保険特別会計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IF([12]回答表!R43="●","●","")</f>
        <v/>
      </c>
      <c r="E24" s="80"/>
      <c r="F24" s="80"/>
      <c r="G24" s="80"/>
      <c r="H24" s="80"/>
      <c r="I24" s="80"/>
      <c r="J24" s="81"/>
      <c r="K24" s="79" t="str">
        <f>IF([12]回答表!R44="●","●","")</f>
        <v>●</v>
      </c>
      <c r="L24" s="80"/>
      <c r="M24" s="80"/>
      <c r="N24" s="80"/>
      <c r="O24" s="80"/>
      <c r="P24" s="80"/>
      <c r="Q24" s="81"/>
      <c r="R24" s="79" t="str">
        <f>IF([12]回答表!R45="●","●","")</f>
        <v/>
      </c>
      <c r="S24" s="80"/>
      <c r="T24" s="80"/>
      <c r="U24" s="80"/>
      <c r="V24" s="80"/>
      <c r="W24" s="80"/>
      <c r="X24" s="81"/>
      <c r="Y24" s="79" t="str">
        <f>IF([12]回答表!R46="●","●","")</f>
        <v/>
      </c>
      <c r="Z24" s="80"/>
      <c r="AA24" s="80"/>
      <c r="AB24" s="80"/>
      <c r="AC24" s="80"/>
      <c r="AD24" s="80"/>
      <c r="AE24" s="81"/>
      <c r="AF24" s="79" t="str">
        <f>IF([12]回答表!R47="●","●","")</f>
        <v/>
      </c>
      <c r="AG24" s="80"/>
      <c r="AH24" s="80"/>
      <c r="AI24" s="80"/>
      <c r="AJ24" s="80"/>
      <c r="AK24" s="80"/>
      <c r="AL24" s="81"/>
      <c r="AM24" s="79" t="str">
        <f>IF([12]回答表!R48="●","●","")</f>
        <v/>
      </c>
      <c r="AN24" s="80"/>
      <c r="AO24" s="80"/>
      <c r="AP24" s="80"/>
      <c r="AQ24" s="80"/>
      <c r="AR24" s="80"/>
      <c r="AS24" s="81"/>
      <c r="AT24" s="79" t="str">
        <f>IF([12]回答表!R49="●","●","")</f>
        <v/>
      </c>
      <c r="AU24" s="80"/>
      <c r="AV24" s="80"/>
      <c r="AW24" s="80"/>
      <c r="AX24" s="80"/>
      <c r="AY24" s="80"/>
      <c r="AZ24" s="81"/>
      <c r="BA24" s="68"/>
      <c r="BB24" s="82" t="str">
        <f>IF([12]回答表!R50="●","●","")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IF([12]回答表!X43="●","●","")</f>
        <v/>
      </c>
      <c r="O36" s="131"/>
      <c r="P36" s="131"/>
      <c r="Q36" s="132"/>
      <c r="R36" s="119"/>
      <c r="S36" s="119"/>
      <c r="T36" s="119"/>
      <c r="U36" s="133" t="str">
        <f>IF([12]回答表!X43="●",[12]回答表!B59,IF([12]回答表!AA43="●",[12]回答表!B79,""))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IF([12]回答表!X43="●",[12]回答表!S65,IF([12]回答表!AA43="●",[12]回答表!S85,""))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IF([12]回答表!X43="●",[12]回答表!G65,IF([12]回答表!AA43="●",[12]回答表!G85,""))</f>
        <v/>
      </c>
      <c r="AN38" s="83"/>
      <c r="AO38" s="83"/>
      <c r="AP38" s="83"/>
      <c r="AQ38" s="83"/>
      <c r="AR38" s="83"/>
      <c r="AS38" s="83"/>
      <c r="AT38" s="153"/>
      <c r="AU38" s="82" t="str">
        <f>IF([12]回答表!X43="●",[12]回答表!G66,IF([12]回答表!AA43="●",[12]回答表!G86,""))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IF([12]回答表!X43="●",[12]回答表!V65,IF([12]回答表!AA43="●",[12]回答表!V85,""))</f>
        <v/>
      </c>
      <c r="BG39" s="16"/>
      <c r="BH39" s="16"/>
      <c r="BI39" s="17"/>
      <c r="BJ39" s="150" t="str">
        <f>IF([12]回答表!X43="●",[12]回答表!V66,IF([12]回答表!AA43="●",[12]回答表!V86,""))</f>
        <v/>
      </c>
      <c r="BK39" s="16"/>
      <c r="BL39" s="16"/>
      <c r="BM39" s="17"/>
      <c r="BN39" s="150" t="str">
        <f>IF([12]回答表!X43="●",[12]回答表!V67,IF([12]回答表!AA43="●",[12]回答表!V87,""))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IF([12]回答表!X43="●",[12]回答表!O71,IF([12]回答表!AA43="●",[12]回答表!O91,""))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IF([12]回答表!X43="●",[12]回答表!O72,IF([12]回答表!AA43="●",[12]回答表!O92,""))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IF([12]回答表!X43="●",[12]回答表!O73,IF([12]回答表!AA43="●",[12]回答表!O93,""))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IF([12]回答表!X43="●",[12]回答表!O74,IF([12]回答表!AA43="●",[12]回答表!O94,""))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IF([12]回答表!X43="●",[12]回答表!AG71,IF([12]回答表!AA43="●",[12]回答表!AG91,""))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IF([12]回答表!X43="●",[12]回答表!AG72,IF([12]回答表!AA43="●",[12]回答表!AG92,""))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IF([12]回答表!AD43="●","●","")</f>
        <v/>
      </c>
      <c r="O51" s="131"/>
      <c r="P51" s="131"/>
      <c r="Q51" s="132"/>
      <c r="R51" s="119"/>
      <c r="S51" s="119"/>
      <c r="T51" s="119"/>
      <c r="U51" s="133" t="str">
        <f>IF([12]回答表!AD43="●",[12]回答表!B99,"")</f>
        <v/>
      </c>
      <c r="V51" s="134"/>
      <c r="W51" s="134"/>
      <c r="X51" s="134"/>
      <c r="Y51" s="134"/>
      <c r="Z51" s="134"/>
      <c r="AA51" s="134"/>
      <c r="AB51" s="134"/>
      <c r="AC51" s="134"/>
      <c r="AD51" s="134"/>
      <c r="AE51" s="134"/>
      <c r="AF51" s="134"/>
      <c r="AG51" s="134"/>
      <c r="AH51" s="134"/>
      <c r="AI51" s="134"/>
      <c r="AJ51" s="135"/>
      <c r="AK51" s="183"/>
      <c r="AL51" s="183"/>
      <c r="AM51" s="133" t="str">
        <f>IF([12]回答表!AD43="●",[12]回答表!B104,"")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IF([12]回答表!X44="●","●","")</f>
        <v>●</v>
      </c>
      <c r="O62" s="131"/>
      <c r="P62" s="131"/>
      <c r="Q62" s="132"/>
      <c r="R62" s="119"/>
      <c r="S62" s="119"/>
      <c r="T62" s="119"/>
      <c r="U62" s="313" t="str">
        <f>IF([12]回答表!X44="●",[12]回答表!B115,IF([12]回答表!AA44="●",[12]回答表!B127,""))</f>
        <v>市直営の特別養護老人ホーム桜苑を社会福祉法人に譲渡する。
（建物：無償譲渡、土地：無償譲渡）
　市の直接的な人員が不要となり、人件費等の財政負担が無くなった。</v>
      </c>
      <c r="V62" s="314"/>
      <c r="W62" s="314"/>
      <c r="X62" s="314"/>
      <c r="Y62" s="314"/>
      <c r="Z62" s="314"/>
      <c r="AA62" s="314"/>
      <c r="AB62" s="314"/>
      <c r="AC62" s="314"/>
      <c r="AD62" s="314"/>
      <c r="AE62" s="314"/>
      <c r="AF62" s="314"/>
      <c r="AG62" s="314"/>
      <c r="AH62" s="314"/>
      <c r="AI62" s="314"/>
      <c r="AJ62" s="31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IF([12]回答表!X44="●",[12]回答表!S121,IF([12]回答表!AA44="●",[12]回答表!S133,""))</f>
        <v>平成</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316"/>
      <c r="V63" s="317"/>
      <c r="W63" s="317"/>
      <c r="X63" s="317"/>
      <c r="Y63" s="317"/>
      <c r="Z63" s="317"/>
      <c r="AA63" s="317"/>
      <c r="AB63" s="317"/>
      <c r="AC63" s="317"/>
      <c r="AD63" s="317"/>
      <c r="AE63" s="317"/>
      <c r="AF63" s="317"/>
      <c r="AG63" s="317"/>
      <c r="AH63" s="317"/>
      <c r="AI63" s="317"/>
      <c r="AJ63" s="318"/>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316"/>
      <c r="V64" s="317"/>
      <c r="W64" s="317"/>
      <c r="X64" s="317"/>
      <c r="Y64" s="317"/>
      <c r="Z64" s="317"/>
      <c r="AA64" s="317"/>
      <c r="AB64" s="317"/>
      <c r="AC64" s="317"/>
      <c r="AD64" s="317"/>
      <c r="AE64" s="317"/>
      <c r="AF64" s="317"/>
      <c r="AG64" s="317"/>
      <c r="AH64" s="317"/>
      <c r="AI64" s="317"/>
      <c r="AJ64" s="318"/>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316"/>
      <c r="V65" s="317"/>
      <c r="W65" s="317"/>
      <c r="X65" s="317"/>
      <c r="Y65" s="317"/>
      <c r="Z65" s="317"/>
      <c r="AA65" s="317"/>
      <c r="AB65" s="317"/>
      <c r="AC65" s="317"/>
      <c r="AD65" s="317"/>
      <c r="AE65" s="317"/>
      <c r="AF65" s="317"/>
      <c r="AG65" s="317"/>
      <c r="AH65" s="317"/>
      <c r="AI65" s="317"/>
      <c r="AJ65" s="318"/>
      <c r="AK65" s="136"/>
      <c r="AL65" s="136"/>
      <c r="AM65" s="82" t="str">
        <f>IF([12]回答表!X44="●",[12]回答表!J121,IF([12]回答表!AA44="●",[12]回答表!J133,""))</f>
        <v>●</v>
      </c>
      <c r="AN65" s="83"/>
      <c r="AO65" s="83"/>
      <c r="AP65" s="83"/>
      <c r="AQ65" s="83"/>
      <c r="AR65" s="83"/>
      <c r="AS65" s="83"/>
      <c r="AT65" s="153"/>
      <c r="AU65" s="82" t="str">
        <f>IF([12]回答表!X44="●",[12]回答表!J122,IF([12]回答表!AA44="●",[12]回答表!J134,""))</f>
        <v xml:space="preserve"> </v>
      </c>
      <c r="AV65" s="83"/>
      <c r="AW65" s="83"/>
      <c r="AX65" s="83"/>
      <c r="AY65" s="83"/>
      <c r="AZ65" s="83"/>
      <c r="BA65" s="83"/>
      <c r="BB65" s="153"/>
      <c r="BC65" s="120"/>
      <c r="BD65" s="109"/>
      <c r="BE65" s="109"/>
      <c r="BF65" s="150">
        <f>IF([12]回答表!X44="●",[12]回答表!V121,IF([12]回答表!AA44="●",[12]回答表!V133,""))</f>
        <v>23</v>
      </c>
      <c r="BG65" s="151"/>
      <c r="BH65" s="151"/>
      <c r="BI65" s="151"/>
      <c r="BJ65" s="150">
        <f>IF([12]回答表!X44="●",[12]回答表!V122,IF([12]回答表!AA44="●",[12]回答表!V134,""))</f>
        <v>4</v>
      </c>
      <c r="BK65" s="151"/>
      <c r="BL65" s="151"/>
      <c r="BM65" s="151"/>
      <c r="BN65" s="150">
        <f>IF([12]回答表!X44="●",[12]回答表!V123,IF([12]回答表!AA44="●",[12]回答表!V135,""))</f>
        <v>1</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316"/>
      <c r="V66" s="317"/>
      <c r="W66" s="317"/>
      <c r="X66" s="317"/>
      <c r="Y66" s="317"/>
      <c r="Z66" s="317"/>
      <c r="AA66" s="317"/>
      <c r="AB66" s="317"/>
      <c r="AC66" s="317"/>
      <c r="AD66" s="317"/>
      <c r="AE66" s="317"/>
      <c r="AF66" s="317"/>
      <c r="AG66" s="317"/>
      <c r="AH66" s="317"/>
      <c r="AI66" s="317"/>
      <c r="AJ66" s="318"/>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316"/>
      <c r="V67" s="317"/>
      <c r="W67" s="317"/>
      <c r="X67" s="317"/>
      <c r="Y67" s="317"/>
      <c r="Z67" s="317"/>
      <c r="AA67" s="317"/>
      <c r="AB67" s="317"/>
      <c r="AC67" s="317"/>
      <c r="AD67" s="317"/>
      <c r="AE67" s="317"/>
      <c r="AF67" s="317"/>
      <c r="AG67" s="317"/>
      <c r="AH67" s="317"/>
      <c r="AI67" s="317"/>
      <c r="AJ67" s="318"/>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IF([12]回答表!AA44="●","●","")</f>
        <v/>
      </c>
      <c r="O68" s="131"/>
      <c r="P68" s="131"/>
      <c r="Q68" s="132"/>
      <c r="R68" s="119"/>
      <c r="S68" s="119"/>
      <c r="T68" s="119"/>
      <c r="U68" s="316"/>
      <c r="V68" s="317"/>
      <c r="W68" s="317"/>
      <c r="X68" s="317"/>
      <c r="Y68" s="317"/>
      <c r="Z68" s="317"/>
      <c r="AA68" s="317"/>
      <c r="AB68" s="317"/>
      <c r="AC68" s="317"/>
      <c r="AD68" s="317"/>
      <c r="AE68" s="317"/>
      <c r="AF68" s="317"/>
      <c r="AG68" s="317"/>
      <c r="AH68" s="317"/>
      <c r="AI68" s="317"/>
      <c r="AJ68" s="318"/>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316"/>
      <c r="V69" s="317"/>
      <c r="W69" s="317"/>
      <c r="X69" s="317"/>
      <c r="Y69" s="317"/>
      <c r="Z69" s="317"/>
      <c r="AA69" s="317"/>
      <c r="AB69" s="317"/>
      <c r="AC69" s="317"/>
      <c r="AD69" s="317"/>
      <c r="AE69" s="317"/>
      <c r="AF69" s="317"/>
      <c r="AG69" s="317"/>
      <c r="AH69" s="317"/>
      <c r="AI69" s="317"/>
      <c r="AJ69" s="318"/>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316"/>
      <c r="V70" s="317"/>
      <c r="W70" s="317"/>
      <c r="X70" s="317"/>
      <c r="Y70" s="317"/>
      <c r="Z70" s="317"/>
      <c r="AA70" s="317"/>
      <c r="AB70" s="317"/>
      <c r="AC70" s="317"/>
      <c r="AD70" s="317"/>
      <c r="AE70" s="317"/>
      <c r="AF70" s="317"/>
      <c r="AG70" s="317"/>
      <c r="AH70" s="317"/>
      <c r="AI70" s="317"/>
      <c r="AJ70" s="318"/>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319"/>
      <c r="V71" s="320"/>
      <c r="W71" s="320"/>
      <c r="X71" s="320"/>
      <c r="Y71" s="320"/>
      <c r="Z71" s="320"/>
      <c r="AA71" s="320"/>
      <c r="AB71" s="320"/>
      <c r="AC71" s="320"/>
      <c r="AD71" s="320"/>
      <c r="AE71" s="320"/>
      <c r="AF71" s="320"/>
      <c r="AG71" s="320"/>
      <c r="AH71" s="320"/>
      <c r="AI71" s="320"/>
      <c r="AJ71" s="32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IF([12]回答表!AD44="●","●","")</f>
        <v/>
      </c>
      <c r="O74" s="131"/>
      <c r="P74" s="131"/>
      <c r="Q74" s="132"/>
      <c r="R74" s="119"/>
      <c r="S74" s="119"/>
      <c r="T74" s="119"/>
      <c r="U74" s="133" t="str">
        <f>IF([12]回答表!AD44="●",[12]回答表!B140,"")</f>
        <v/>
      </c>
      <c r="V74" s="134"/>
      <c r="W74" s="134"/>
      <c r="X74" s="134"/>
      <c r="Y74" s="134"/>
      <c r="Z74" s="134"/>
      <c r="AA74" s="134"/>
      <c r="AB74" s="134"/>
      <c r="AC74" s="134"/>
      <c r="AD74" s="134"/>
      <c r="AE74" s="134"/>
      <c r="AF74" s="134"/>
      <c r="AG74" s="134"/>
      <c r="AH74" s="134"/>
      <c r="AI74" s="134"/>
      <c r="AJ74" s="135"/>
      <c r="AK74" s="183"/>
      <c r="AL74" s="183"/>
      <c r="AM74" s="133" t="str">
        <f>IF([12]回答表!AD44="●",[12]回答表!B146,"")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IF([12]回答表!F17="水道事業",IF([12]回答表!X45="●","●",""),"")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IF([12]回答表!F17="水道事業",IF([12]回答表!X45="●",[12]回答表!B158,IF([12]回答表!AA45="●",[12]回答表!B223,"")),"")</f>
        <v/>
      </c>
      <c r="AN86" s="201"/>
      <c r="AO86" s="201"/>
      <c r="AP86" s="201"/>
      <c r="AQ86" s="201"/>
      <c r="AR86" s="201"/>
      <c r="AS86" s="201"/>
      <c r="AT86" s="201"/>
      <c r="AU86" s="201"/>
      <c r="AV86" s="201"/>
      <c r="AW86" s="201"/>
      <c r="AX86" s="201"/>
      <c r="AY86" s="201"/>
      <c r="AZ86" s="201"/>
      <c r="BA86" s="201"/>
      <c r="BB86" s="201"/>
      <c r="BC86" s="202"/>
      <c r="BD86" s="109"/>
      <c r="BE86" s="109"/>
      <c r="BF86" s="138" t="str">
        <f>IF([12]回答表!F17="水道事業",IF([12]回答表!X45="●",[12]回答表!B212,IF([12]回答表!AA45="●",[12]回答表!B278,"")),"")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IF([12]回答表!F17="水道事業",IF([12]回答表!X45="●",[12]回答表!J166,IF([12]回答表!AA45="●",[12]回答表!J231,"")),"")</f>
        <v/>
      </c>
      <c r="V88" s="83"/>
      <c r="W88" s="83"/>
      <c r="X88" s="83"/>
      <c r="Y88" s="83"/>
      <c r="Z88" s="83"/>
      <c r="AA88" s="83"/>
      <c r="AB88" s="153"/>
      <c r="AC88" s="82" t="str">
        <f>IF([12]回答表!F17="水道事業",IF([12]回答表!X45="●",[12]回答表!J173,IF([12]回答表!AA45="●",[12]回答表!J238,"")),"")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IF([12]回答表!F17="水道事業",IF([12]回答表!X45="●",[12]回答表!E212,IF([12]回答表!AA45="●",[12]回答表!E278,"")),"")</f>
        <v/>
      </c>
      <c r="BG89" s="151"/>
      <c r="BH89" s="151"/>
      <c r="BI89" s="151"/>
      <c r="BJ89" s="150" t="str">
        <f>IF([12]回答表!F17="水道事業",IF([12]回答表!X45="●",[12]回答表!E213,IF([12]回答表!AA45="●",[12]回答表!E279,"")),"")</f>
        <v/>
      </c>
      <c r="BK89" s="151"/>
      <c r="BL89" s="151"/>
      <c r="BM89" s="151"/>
      <c r="BN89" s="150" t="str">
        <f>IF([12]回答表!F17="水道事業",IF([12]回答表!X45="●",[12]回答表!E214,IF([12]回答表!AA45="●",[12]回答表!E280,"")),"")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IF([12]回答表!F17="水道事業",IF([12]回答表!AA45="●","●",""),"")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IF([12]回答表!F17="水道事業",IF([12]回答表!X45="●",[12]回答表!J176,IF([12]回答表!AA45="●",[12]回答表!J241,"")),"")</f>
        <v/>
      </c>
      <c r="V93" s="83"/>
      <c r="W93" s="83"/>
      <c r="X93" s="83"/>
      <c r="Y93" s="83"/>
      <c r="Z93" s="83"/>
      <c r="AA93" s="83"/>
      <c r="AB93" s="153"/>
      <c r="AC93" s="82" t="str">
        <f>IF([12]回答表!F17="水道事業",IF([12]回答表!X45="●",[12]回答表!J180,IF([12]回答表!AA45="●",[12]回答表!J245,"")),"")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IF([12]回答表!F17="水道事業",IF([12]回答表!AD45="●","●",""),"")</f>
        <v/>
      </c>
      <c r="O98" s="131"/>
      <c r="P98" s="131"/>
      <c r="Q98" s="132"/>
      <c r="R98" s="119"/>
      <c r="S98" s="119"/>
      <c r="T98" s="119"/>
      <c r="U98" s="133" t="str">
        <f>IF([12]回答表!F17="水道事業",IF([12]回答表!AD45="●",[12]回答表!B289,""),"")</f>
        <v/>
      </c>
      <c r="V98" s="134"/>
      <c r="W98" s="134"/>
      <c r="X98" s="134"/>
      <c r="Y98" s="134"/>
      <c r="Z98" s="134"/>
      <c r="AA98" s="134"/>
      <c r="AB98" s="134"/>
      <c r="AC98" s="134"/>
      <c r="AD98" s="134"/>
      <c r="AE98" s="134"/>
      <c r="AF98" s="134"/>
      <c r="AG98" s="134"/>
      <c r="AH98" s="134"/>
      <c r="AI98" s="134"/>
      <c r="AJ98" s="135"/>
      <c r="AK98" s="183"/>
      <c r="AL98" s="183"/>
      <c r="AM98" s="133" t="str">
        <f>IF([12]回答表!F17="水道事業",IF([12]回答表!AD45="●",[12]回答表!B295,""),"")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IF([12]回答表!F17="簡易水道事業",IF([12]回答表!X45="●",[12]回答表!B158,IF([12]回答表!AA45="●",[12]回答表!B223,"")),"")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IF([12]回答表!F17="簡易水道事業",IF([12]回答表!X45="●",[12]回答表!B212,IF([12]回答表!AA45="●",[12]回答表!B278,"")),"")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IF([12]回答表!F17="簡易水道事業",IF([12]回答表!X45="●","●",""),"")</f>
        <v/>
      </c>
      <c r="O112" s="131"/>
      <c r="P112" s="131"/>
      <c r="Q112" s="132"/>
      <c r="R112" s="119"/>
      <c r="S112" s="119"/>
      <c r="T112" s="119"/>
      <c r="U112" s="82" t="str">
        <f>IF([12]回答表!F17="簡易水道事業",IF([12]回答表!X45="●",[12]回答表!Y185,IF([12]回答表!AA45="●",[12]回答表!Y251,"")),"")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IF([12]回答表!F17="簡易水道事業",IF([12]回答表!X45="●",[12]回答表!E212,IF([12]回答表!AA45="●",[12]回答表!E278,"")),"")</f>
        <v/>
      </c>
      <c r="BG113" s="151"/>
      <c r="BH113" s="151"/>
      <c r="BI113" s="151"/>
      <c r="BJ113" s="150" t="str">
        <f>IF([12]回答表!F17="簡易水道事業",IF([12]回答表!X45="●",[12]回答表!E213,IF([12]回答表!AA45="●",[12]回答表!E279,"")),"")</f>
        <v/>
      </c>
      <c r="BK113" s="151"/>
      <c r="BL113" s="151"/>
      <c r="BM113" s="151"/>
      <c r="BN113" s="150" t="str">
        <f>IF([12]回答表!F17="簡易水道事業",IF([12]回答表!X45="●",[12]回答表!E214,IF([12]回答表!AA45="●",[12]回答表!E280,"")),"")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IF([12]回答表!F17="簡易水道事業",IF([12]回答表!X45="●",[12]回答表!Y186,IF([12]回答表!AA45="●",[12]回答表!Y252,"")),"")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IF([12]回答表!F17="簡易水道事業",IF([12]回答表!AA45="●","●",""),"")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IF([12]回答表!F17="簡易水道事業",IF([12]回答表!X45="●",[12]回答表!Y187,IF([12]回答表!AA45="●",[12]回答表!Y253,"")),"")</f>
        <v/>
      </c>
      <c r="V122" s="83"/>
      <c r="W122" s="83"/>
      <c r="X122" s="83"/>
      <c r="Y122" s="83"/>
      <c r="Z122" s="83"/>
      <c r="AA122" s="83"/>
      <c r="AB122" s="83"/>
      <c r="AC122" s="83"/>
      <c r="AD122" s="83"/>
      <c r="AE122" s="83"/>
      <c r="AF122" s="83"/>
      <c r="AG122" s="83"/>
      <c r="AH122" s="83"/>
      <c r="AI122" s="83"/>
      <c r="AJ122" s="153"/>
      <c r="AK122" s="68"/>
      <c r="AL122" s="68"/>
      <c r="AM122" s="233" t="str">
        <f>IF([12]回答表!F17="簡易水道事業",IF([12]回答表!X45="●",[12]回答表!Y189,IF([12]回答表!AA45="●",[12]回答表!Y255,"")),"")</f>
        <v/>
      </c>
      <c r="AN122" s="233"/>
      <c r="AO122" s="233"/>
      <c r="AP122" s="233"/>
      <c r="AQ122" s="233"/>
      <c r="AR122" s="233"/>
      <c r="AS122" s="233" t="str">
        <f>IF([12]回答表!F17="簡易水道事業",IF([12]回答表!X45="●",[12]回答表!Y190,IF([12]回答表!AA45="●",[12]回答表!Y256,"")),"")</f>
        <v/>
      </c>
      <c r="AT122" s="233"/>
      <c r="AU122" s="233"/>
      <c r="AV122" s="233"/>
      <c r="AW122" s="233"/>
      <c r="AX122" s="233"/>
      <c r="AY122" s="233" t="str">
        <f>IF([12]回答表!F17="簡易水道事業",IF([12]回答表!X45="●",[12]回答表!Y191,IF([12]回答表!AA45="●",[12]回答表!Y257,"")),"")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IF([12]回答表!F17="簡易水道事業",IF([12]回答表!AD45="●","●",""),"")</f>
        <v/>
      </c>
      <c r="O127" s="131"/>
      <c r="P127" s="131"/>
      <c r="Q127" s="132"/>
      <c r="R127" s="119"/>
      <c r="S127" s="119"/>
      <c r="T127" s="119"/>
      <c r="U127" s="133" t="str">
        <f>IF([12]回答表!F17="簡易水道事業",IF([12]回答表!AD45="●",[12]回答表!B289,""),"")</f>
        <v/>
      </c>
      <c r="V127" s="134"/>
      <c r="W127" s="134"/>
      <c r="X127" s="134"/>
      <c r="Y127" s="134"/>
      <c r="Z127" s="134"/>
      <c r="AA127" s="134"/>
      <c r="AB127" s="134"/>
      <c r="AC127" s="134"/>
      <c r="AD127" s="134"/>
      <c r="AE127" s="134"/>
      <c r="AF127" s="134"/>
      <c r="AG127" s="134"/>
      <c r="AH127" s="134"/>
      <c r="AI127" s="134"/>
      <c r="AJ127" s="135"/>
      <c r="AK127" s="183"/>
      <c r="AL127" s="183"/>
      <c r="AM127" s="133" t="str">
        <f>IF([12]回答表!F17="簡易水道事業",IF([12]回答表!AD45="●",[12]回答表!B295,""),"")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IF([12]回答表!F17="下水道事業",IF([12]回答表!X45="●","●",""),"")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IF([12]回答表!F17="下水道事業",IF([12]回答表!X45="●",[12]回答表!B158,IF([12]回答表!AA45="●",[12]回答表!B223,"")),"")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IF([12]回答表!F17="下水道事業",IF([12]回答表!X45="●",[12]回答表!B212,IF([12]回答表!AA45="●",[12]回答表!B278,"")),"")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IF([12]回答表!F17="下水道事業",IF([12]回答表!X45="●",[12]回答表!Y193,IF([12]回答表!AA45="●",[12]回答表!Y259,"")),"")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IF([12]回答表!F17="下水道事業",IF([12]回答表!X45="●",[12]回答表!E212,IF([12]回答表!AA45="●",[12]回答表!E278,"")),"")</f>
        <v/>
      </c>
      <c r="BG142" s="151"/>
      <c r="BH142" s="151"/>
      <c r="BI142" s="151"/>
      <c r="BJ142" s="150" t="str">
        <f>IF([12]回答表!F17="下水道事業",IF([12]回答表!X45="●",[12]回答表!E213,IF([12]回答表!AA45="●",[12]回答表!E279,"")),"")</f>
        <v/>
      </c>
      <c r="BK142" s="151"/>
      <c r="BL142" s="151"/>
      <c r="BM142" s="151"/>
      <c r="BN142" s="150" t="str">
        <f>IF([12]回答表!F17="下水道事業",IF([12]回答表!X45="●",[12]回答表!E214,IF([12]回答表!AA45="●",[12]回答表!E280,"")),"")</f>
        <v/>
      </c>
      <c r="BO142" s="151"/>
      <c r="BP142" s="151"/>
      <c r="BQ142" s="152"/>
      <c r="BR142" s="112"/>
      <c r="BX142" s="200" t="str">
        <f>IF([12]回答表!AQ20="下水道事業",IF([12]回答表!BI48="○",[12]回答表!AM161,IF([12]回答表!BL48="○",[12]回答表!AM226,"")),"")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IF([12]回答表!F17="下水道事業",IF([12]回答表!X45="●",[12]回答表!Y195,IF([12]回答表!AA45="●",[12]回答表!Y261,"")),"")</f>
        <v/>
      </c>
      <c r="V147" s="83"/>
      <c r="W147" s="83"/>
      <c r="X147" s="83"/>
      <c r="Y147" s="83"/>
      <c r="Z147" s="83"/>
      <c r="AA147" s="83"/>
      <c r="AB147" s="153"/>
      <c r="AC147" s="82" t="str">
        <f>IF([12]回答表!F17="下水道事業",IF([12]回答表!X45="●",[12]回答表!Y196,IF([12]回答表!AA45="●",[12]回答表!Y262,"")),"")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IF([12]回答表!F17="下水道事業",IF([12]回答表!X45="●",[12]回答表!Y198,IF([12]回答表!AA45="●",[12]回答表!Y264,"")),"")</f>
        <v/>
      </c>
      <c r="V153" s="83"/>
      <c r="W153" s="83"/>
      <c r="X153" s="83"/>
      <c r="Y153" s="83"/>
      <c r="Z153" s="83"/>
      <c r="AA153" s="83"/>
      <c r="AB153" s="153"/>
      <c r="AC153" s="82" t="str">
        <f>IF([12]回答表!F17="下水道事業",IF([12]回答表!X45="●",[12]回答表!Y199,IF([12]回答表!AA45="●",[12]回答表!Y265,"")),"")</f>
        <v/>
      </c>
      <c r="AD153" s="83"/>
      <c r="AE153" s="83"/>
      <c r="AF153" s="83"/>
      <c r="AG153" s="83"/>
      <c r="AH153" s="83"/>
      <c r="AI153" s="83"/>
      <c r="AJ153" s="153"/>
      <c r="AK153" s="82" t="str">
        <f>IF([12]回答表!F17="下水道事業",IF([12]回答表!X45="●",[12]回答表!Y200,IF([12]回答表!AA45="●",[12]回答表!Y266,"")),"")</f>
        <v/>
      </c>
      <c r="AL153" s="83"/>
      <c r="AM153" s="83"/>
      <c r="AN153" s="83"/>
      <c r="AO153" s="83"/>
      <c r="AP153" s="83"/>
      <c r="AQ153" s="83"/>
      <c r="AR153" s="153"/>
      <c r="AS153" s="82" t="str">
        <f>IF([12]回答表!F17="下水道事業",IF([12]回答表!X45="●",[12]回答表!Y201,IF([12]回答表!AA45="●",[12]回答表!Y267,"")),"")</f>
        <v/>
      </c>
      <c r="AT153" s="83"/>
      <c r="AU153" s="83"/>
      <c r="AV153" s="83"/>
      <c r="AW153" s="83"/>
      <c r="AX153" s="83"/>
      <c r="AY153" s="83"/>
      <c r="AZ153" s="153"/>
      <c r="BA153" s="82" t="str">
        <f>IF([12]回答表!F17="下水道事業",IF([12]回答表!X45="●",[12]回答表!Y202,IF([12]回答表!AA45="●",[12]回答表!Y268,"")),"")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IF([12]回答表!F17="下水道事業",IF([12]回答表!AA45="●","●",""),"")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IF([12]回答表!F17="下水道事業",IF([12]回答表!X45="●",[12]回答表!Y207,IF([12]回答表!AA45="●",[12]回答表!Y273,"")),"")</f>
        <v/>
      </c>
      <c r="V159" s="83"/>
      <c r="W159" s="83"/>
      <c r="X159" s="83"/>
      <c r="Y159" s="83"/>
      <c r="Z159" s="83"/>
      <c r="AA159" s="83"/>
      <c r="AB159" s="153"/>
      <c r="AC159" s="82" t="str">
        <f>IF([12]回答表!F17="下水道事業",IF([12]回答表!X45="●",[12]回答表!Y208,IF([12]回答表!AA45="●",[12]回答表!Y274,"")),"")</f>
        <v/>
      </c>
      <c r="AD159" s="83"/>
      <c r="AE159" s="83"/>
      <c r="AF159" s="83"/>
      <c r="AG159" s="83"/>
      <c r="AH159" s="83"/>
      <c r="AI159" s="83"/>
      <c r="AJ159" s="153"/>
      <c r="AK159" s="82" t="str">
        <f>IF([12]回答表!F17="下水道事業",IF([12]回答表!X45="●",[12]回答表!Y209,IF([12]回答表!AA45="●",[12]回答表!Y275,"")),"")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IF([12]回答表!F17="下水道事業",IF([12]回答表!AD45="●","●",""),"")</f>
        <v/>
      </c>
      <c r="O164" s="131"/>
      <c r="P164" s="131"/>
      <c r="Q164" s="132"/>
      <c r="R164" s="119"/>
      <c r="S164" s="119"/>
      <c r="T164" s="119"/>
      <c r="U164" s="133" t="str">
        <f>IF([12]回答表!F17="下水道事業",IF([12]回答表!AD45="●",[12]回答表!B289,""),"")</f>
        <v/>
      </c>
      <c r="V164" s="134"/>
      <c r="W164" s="134"/>
      <c r="X164" s="134"/>
      <c r="Y164" s="134"/>
      <c r="Z164" s="134"/>
      <c r="AA164" s="134"/>
      <c r="AB164" s="134"/>
      <c r="AC164" s="134"/>
      <c r="AD164" s="134"/>
      <c r="AE164" s="134"/>
      <c r="AF164" s="134"/>
      <c r="AG164" s="134"/>
      <c r="AH164" s="134"/>
      <c r="AI164" s="134"/>
      <c r="AJ164" s="135"/>
      <c r="AK164" s="183"/>
      <c r="AL164" s="183"/>
      <c r="AM164" s="133" t="str">
        <f>IF([12]回答表!F17="下水道事業",IF([12]回答表!AD45="●",[12]回答表!B295,""),"")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IF([12]回答表!BD17="●",IF([12]回答表!X45="●","●",""),"")</f>
        <v/>
      </c>
      <c r="O176" s="131"/>
      <c r="P176" s="131"/>
      <c r="Q176" s="132"/>
      <c r="R176" s="119"/>
      <c r="S176" s="119"/>
      <c r="T176" s="119"/>
      <c r="U176" s="133" t="str">
        <f>IF([12]回答表!BD17="●",IF([12]回答表!X45="●",[12]回答表!B158,IF([12]回答表!AA45="●",[12]回答表!B223,"")),"")</f>
        <v/>
      </c>
      <c r="V176" s="134"/>
      <c r="W176" s="134"/>
      <c r="X176" s="134"/>
      <c r="Y176" s="134"/>
      <c r="Z176" s="134"/>
      <c r="AA176" s="134"/>
      <c r="AB176" s="134"/>
      <c r="AC176" s="134"/>
      <c r="AD176" s="134"/>
      <c r="AE176" s="134"/>
      <c r="AF176" s="134"/>
      <c r="AG176" s="134"/>
      <c r="AH176" s="134"/>
      <c r="AI176" s="134"/>
      <c r="AJ176" s="135"/>
      <c r="AK176" s="136"/>
      <c r="AL176" s="136"/>
      <c r="AM176" s="138" t="str">
        <f>IF([12]回答表!BD17="●",IF([12]回答表!X45="●",[12]回答表!B212,IF([12]回答表!AA45="●",[12]回答表!B278,"")),"")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IF([12]回答表!BD17="●",IF([12]回答表!X45="●",[12]回答表!E212,IF([12]回答表!AA45="●",[12]回答表!E278,"")),"")</f>
        <v/>
      </c>
      <c r="AN179" s="151"/>
      <c r="AO179" s="151"/>
      <c r="AP179" s="151"/>
      <c r="AQ179" s="150" t="str">
        <f>IF([12]回答表!BD17="●",IF([12]回答表!X45="●",[12]回答表!E213,IF([12]回答表!AA45="●",[12]回答表!E279,"")),"")</f>
        <v/>
      </c>
      <c r="AR179" s="151"/>
      <c r="AS179" s="151"/>
      <c r="AT179" s="151"/>
      <c r="AU179" s="150" t="str">
        <f>IF([12]回答表!BD17="●",IF([12]回答表!X45="●",[12]回答表!E214,IF([12]回答表!AA45="●",[12]回答表!E280,"")),"")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IF([12]回答表!BD17="●",IF([12]回答表!AA45="●","●",""),"")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IF([12]回答表!BD17="●",IF([12]回答表!AD45="●","●",""),"")</f>
        <v/>
      </c>
      <c r="O188" s="131"/>
      <c r="P188" s="131"/>
      <c r="Q188" s="132"/>
      <c r="R188" s="119"/>
      <c r="S188" s="119"/>
      <c r="T188" s="119"/>
      <c r="U188" s="133" t="str">
        <f>IF([12]回答表!BD17="●",IF([12]回答表!AD45="●",[12]回答表!B289,""),"")</f>
        <v/>
      </c>
      <c r="V188" s="134"/>
      <c r="W188" s="134"/>
      <c r="X188" s="134"/>
      <c r="Y188" s="134"/>
      <c r="Z188" s="134"/>
      <c r="AA188" s="134"/>
      <c r="AB188" s="134"/>
      <c r="AC188" s="134"/>
      <c r="AD188" s="134"/>
      <c r="AE188" s="134"/>
      <c r="AF188" s="134"/>
      <c r="AG188" s="134"/>
      <c r="AH188" s="134"/>
      <c r="AI188" s="134"/>
      <c r="AJ188" s="135"/>
      <c r="AK188" s="183"/>
      <c r="AL188" s="183"/>
      <c r="AM188" s="133" t="str">
        <f>IF([12]回答表!BD17="●",IF([12]回答表!AD45="●",[12]回答表!B295,""),"")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IF([12]回答表!X46="●","●","")</f>
        <v/>
      </c>
      <c r="O200" s="131"/>
      <c r="P200" s="131"/>
      <c r="Q200" s="132"/>
      <c r="R200" s="119"/>
      <c r="S200" s="119"/>
      <c r="T200" s="119"/>
      <c r="U200" s="133" t="str">
        <f>IF([12]回答表!X46="●",[12]回答表!B307,IF([12]回答表!AA46="●",[12]回答表!B324,""))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IF([12]回答表!X46="●",[12]回答表!U313,IF([12]回答表!AA46="●",[12]回答表!U330,""))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IF([12]回答表!X46="●",[12]回答表!G313,IF([12]回答表!AA46="●",[12]回答表!G330,""))</f>
        <v/>
      </c>
      <c r="AN203" s="83"/>
      <c r="AO203" s="83"/>
      <c r="AP203" s="83"/>
      <c r="AQ203" s="83"/>
      <c r="AR203" s="83"/>
      <c r="AS203" s="83"/>
      <c r="AT203" s="153"/>
      <c r="AU203" s="82" t="str">
        <f>IF([12]回答表!X46="●",[12]回答表!G314,IF([12]回答表!AA46="●",[12]回答表!G331,""))</f>
        <v/>
      </c>
      <c r="AV203" s="83"/>
      <c r="AW203" s="83"/>
      <c r="AX203" s="83"/>
      <c r="AY203" s="83"/>
      <c r="AZ203" s="83"/>
      <c r="BA203" s="83"/>
      <c r="BB203" s="153"/>
      <c r="BC203" s="120"/>
      <c r="BD203" s="109"/>
      <c r="BE203" s="109"/>
      <c r="BF203" s="150" t="str">
        <f>IF([12]回答表!X46="●",[12]回答表!X313,IF([12]回答表!AA46="●",[12]回答表!X330,""))</f>
        <v/>
      </c>
      <c r="BG203" s="151"/>
      <c r="BH203" s="151"/>
      <c r="BI203" s="151"/>
      <c r="BJ203" s="150" t="str">
        <f>IF([12]回答表!X46="●",[12]回答表!X314,IF([12]回答表!AA46="●",[12]回答表!X331,""))</f>
        <v/>
      </c>
      <c r="BK203" s="151"/>
      <c r="BL203" s="151"/>
      <c r="BM203" s="152"/>
      <c r="BN203" s="150" t="str">
        <f>IF([12]回答表!X46="●",[12]回答表!X315,IF([12]回答表!AA46="●",[12]回答表!X332,""))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IF([12]回答表!AD46="●","●","")</f>
        <v/>
      </c>
      <c r="O212" s="131"/>
      <c r="P212" s="131"/>
      <c r="Q212" s="132"/>
      <c r="R212" s="119"/>
      <c r="S212" s="119"/>
      <c r="T212" s="119"/>
      <c r="U212" s="133" t="str">
        <f>IF([12]回答表!AD46="●",[12]回答表!B337,"")</f>
        <v/>
      </c>
      <c r="V212" s="134"/>
      <c r="W212" s="134"/>
      <c r="X212" s="134"/>
      <c r="Y212" s="134"/>
      <c r="Z212" s="134"/>
      <c r="AA212" s="134"/>
      <c r="AB212" s="134"/>
      <c r="AC212" s="134"/>
      <c r="AD212" s="134"/>
      <c r="AE212" s="134"/>
      <c r="AF212" s="134"/>
      <c r="AG212" s="134"/>
      <c r="AH212" s="134"/>
      <c r="AI212" s="134"/>
      <c r="AJ212" s="135"/>
      <c r="AK212" s="259"/>
      <c r="AL212" s="259"/>
      <c r="AM212" s="133" t="str">
        <f>IF([12]回答表!AD46="●",[12]回答表!B343,"")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IF([12]回答表!X47="●","●","")</f>
        <v/>
      </c>
      <c r="O224" s="131"/>
      <c r="P224" s="131"/>
      <c r="Q224" s="132"/>
      <c r="R224" s="119"/>
      <c r="S224" s="119"/>
      <c r="T224" s="119"/>
      <c r="U224" s="133" t="str">
        <f>IF([12]回答表!X47="●",[12]回答表!B356,IF([12]回答表!AA47="●",[12]回答表!B379,""))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IF([12]回答表!X47="●",[12]回答表!B362,"")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IF([12]回答表!X47="●",[12]回答表!B368,IF([12]回答表!AA47="●",[12]回答表!B385,""))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IF([12]回答表!X47="●",[12]回答表!E368,IF([12]回答表!AA47="●",[12]回答表!E385,""))</f>
        <v/>
      </c>
      <c r="BG227" s="151"/>
      <c r="BH227" s="151"/>
      <c r="BI227" s="151"/>
      <c r="BJ227" s="150" t="str">
        <f>IF([12]回答表!X47="●",[12]回答表!E369,IF([12]回答表!AA47="●",[12]回答表!E386,""))</f>
        <v/>
      </c>
      <c r="BK227" s="151"/>
      <c r="BL227" s="151"/>
      <c r="BM227" s="152"/>
      <c r="BN227" s="150" t="str">
        <f>IF([12]回答表!X47="●",[12]回答表!E370,IF([12]回答表!AA47="●",[12]回答表!E387,""))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IF([12]回答表!AD47="●","●","")</f>
        <v/>
      </c>
      <c r="O236" s="131"/>
      <c r="P236" s="131"/>
      <c r="Q236" s="132"/>
      <c r="R236" s="119"/>
      <c r="S236" s="119"/>
      <c r="T236" s="119"/>
      <c r="U236" s="133" t="str">
        <f>IF([12]回答表!AD47="●",[12]回答表!B392,"")</f>
        <v/>
      </c>
      <c r="V236" s="134"/>
      <c r="W236" s="134"/>
      <c r="X236" s="134"/>
      <c r="Y236" s="134"/>
      <c r="Z236" s="134"/>
      <c r="AA236" s="134"/>
      <c r="AB236" s="134"/>
      <c r="AC236" s="134"/>
      <c r="AD236" s="134"/>
      <c r="AE236" s="134"/>
      <c r="AF236" s="134"/>
      <c r="AG236" s="134"/>
      <c r="AH236" s="134"/>
      <c r="AI236" s="134"/>
      <c r="AJ236" s="135"/>
      <c r="AK236" s="259"/>
      <c r="AL236" s="259"/>
      <c r="AM236" s="133" t="str">
        <f>IF([12]回答表!AD47="●",[12]回答表!B398,"")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IF([12]回答表!X48="●","●","")</f>
        <v/>
      </c>
      <c r="O248" s="131"/>
      <c r="P248" s="131"/>
      <c r="Q248" s="132"/>
      <c r="R248" s="119"/>
      <c r="S248" s="119"/>
      <c r="T248" s="119"/>
      <c r="U248" s="133" t="str">
        <f>IF([12]回答表!X48="●",[12]回答表!B411,IF([12]回答表!AA48="●",[12]回答表!B425,""))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IF([12]回答表!X48="●",[12]回答表!BC418,IF([12]回答表!AA48="●",[12]回答表!BC432,""))</f>
        <v/>
      </c>
      <c r="AR248" s="272"/>
      <c r="AS248" s="272"/>
      <c r="AT248" s="272"/>
      <c r="AU248" s="273" t="s">
        <v>73</v>
      </c>
      <c r="AV248" s="274"/>
      <c r="AW248" s="274"/>
      <c r="AX248" s="275"/>
      <c r="AY248" s="272" t="str">
        <f>IF([12]回答表!X48="●",[12]回答表!BC423,IF([12]回答表!AA48="●",[12]回答表!BC437,""))</f>
        <v/>
      </c>
      <c r="AZ248" s="272"/>
      <c r="BA248" s="272"/>
      <c r="BB248" s="272"/>
      <c r="BC248" s="120"/>
      <c r="BD248" s="109"/>
      <c r="BE248" s="109"/>
      <c r="BF248" s="138" t="str">
        <f>IF([12]回答表!X48="●",[12]回答表!S417,IF([12]回答表!AA48="●",[12]回答表!S431,""))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IF([12]回答表!X48="●",[12]回答表!BC419,IF([12]回答表!AA48="●",[12]回答表!BC433,""))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IF([12]回答表!X48="●",[12]回答表!V417,IF([12]回答表!AA48="●",[12]回答表!V431,""))</f>
        <v/>
      </c>
      <c r="BG251" s="151"/>
      <c r="BH251" s="151"/>
      <c r="BI251" s="151"/>
      <c r="BJ251" s="150" t="str">
        <f>IF([12]回答表!X48="●",[12]回答表!V418,IF([12]回答表!AA48="●",[12]回答表!V432,""))</f>
        <v/>
      </c>
      <c r="BK251" s="151"/>
      <c r="BL251" s="151"/>
      <c r="BM251" s="152"/>
      <c r="BN251" s="150" t="str">
        <f>IF([12]回答表!X48="●",[12]回答表!V419,IF([12]回答表!AA48="●",[12]回答表!V433,""))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IF([12]回答表!X48="●",[12]回答表!BC420,IF([12]回答表!AA48="●",[12]回答表!BC434,""))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IF([12]回答表!X48="●",[12]回答表!BC424,IF([12]回答表!AA48="●",[12]回答表!BC438,""))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IF([12]回答表!X48="●",[12]回答表!BC421,IF([12]回答表!AA48="●",[12]回答表!BC435,""))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IF([12]回答表!X48="●",[12]回答表!BC422,IF([12]回答表!AA48="●",[12]回答表!BC436,""))</f>
        <v/>
      </c>
      <c r="AR256" s="272"/>
      <c r="AS256" s="272"/>
      <c r="AT256" s="272"/>
      <c r="AU256" s="224" t="s">
        <v>79</v>
      </c>
      <c r="AV256" s="225"/>
      <c r="AW256" s="225"/>
      <c r="AX256" s="226"/>
      <c r="AY256" s="282" t="str">
        <f>IF([12]回答表!X48="●",[12]回答表!BC425,IF([12]回答表!AA48="●",[12]回答表!BC439,""))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IF([12]回答表!AD48="●","●","")</f>
        <v/>
      </c>
      <c r="O260" s="131"/>
      <c r="P260" s="131"/>
      <c r="Q260" s="132"/>
      <c r="R260" s="119"/>
      <c r="S260" s="119"/>
      <c r="T260" s="119"/>
      <c r="U260" s="133" t="str">
        <f>IF([12]回答表!AD48="●",[12]回答表!B439,"")</f>
        <v/>
      </c>
      <c r="V260" s="134"/>
      <c r="W260" s="134"/>
      <c r="X260" s="134"/>
      <c r="Y260" s="134"/>
      <c r="Z260" s="134"/>
      <c r="AA260" s="134"/>
      <c r="AB260" s="134"/>
      <c r="AC260" s="134"/>
      <c r="AD260" s="134"/>
      <c r="AE260" s="134"/>
      <c r="AF260" s="134"/>
      <c r="AG260" s="134"/>
      <c r="AH260" s="134"/>
      <c r="AI260" s="134"/>
      <c r="AJ260" s="135"/>
      <c r="AK260" s="183"/>
      <c r="AL260" s="183"/>
      <c r="AM260" s="133" t="str">
        <f>IF([12]回答表!AD48="●",[12]回答表!B445,"")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IF([12]回答表!X49="●","●","")</f>
        <v/>
      </c>
      <c r="O271" s="131"/>
      <c r="P271" s="131"/>
      <c r="Q271" s="132"/>
      <c r="R271" s="119"/>
      <c r="S271" s="119"/>
      <c r="T271" s="119"/>
      <c r="U271" s="133" t="str">
        <f>IF([12]回答表!X49="●",[12]回答表!B458,IF([12]回答表!AA49="●",[12]回答表!B475,""))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IF([12]回答表!X49="●",[12]回答表!B468,IF([12]回答表!AA49="●",[12]回答表!B485,""))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IF([12]回答表!X49="●",[12]回答表!G464,IF([12]回答表!AA49="●",[12]回答表!G481,""))</f>
        <v/>
      </c>
      <c r="AN273" s="83"/>
      <c r="AO273" s="83"/>
      <c r="AP273" s="83"/>
      <c r="AQ273" s="83"/>
      <c r="AR273" s="83"/>
      <c r="AS273" s="83"/>
      <c r="AT273" s="153"/>
      <c r="AU273" s="82" t="str">
        <f>IF([12]回答表!X49="●",[12]回答表!G465,IF([12]回答表!AA49="●",[12]回答表!G482,""))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IF([12]回答表!X49="●",[12]回答表!E468,IF([12]回答表!AA49="●",[12]回答表!E485,""))</f>
        <v/>
      </c>
      <c r="BG274" s="151"/>
      <c r="BH274" s="151"/>
      <c r="BI274" s="151"/>
      <c r="BJ274" s="150" t="str">
        <f>IF([12]回答表!X49="●",[12]回答表!E469,IF([12]回答表!AA49="●",[12]回答表!E486,""))</f>
        <v/>
      </c>
      <c r="BK274" s="151"/>
      <c r="BL274" s="151"/>
      <c r="BM274" s="152"/>
      <c r="BN274" s="150" t="str">
        <f>IF([12]回答表!X49="●",[12]回答表!E470,IF([12]回答表!AA49="●",[12]回答表!E487,""))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IF([12]回答表!AD49="●","●","")</f>
        <v/>
      </c>
      <c r="O283" s="131"/>
      <c r="P283" s="131"/>
      <c r="Q283" s="132"/>
      <c r="R283" s="119"/>
      <c r="S283" s="119"/>
      <c r="T283" s="119"/>
      <c r="U283" s="133" t="str">
        <f>IF([12]回答表!AD49="●",[12]回答表!B492,"")</f>
        <v/>
      </c>
      <c r="V283" s="134"/>
      <c r="W283" s="134"/>
      <c r="X283" s="134"/>
      <c r="Y283" s="134"/>
      <c r="Z283" s="134"/>
      <c r="AA283" s="134"/>
      <c r="AB283" s="134"/>
      <c r="AC283" s="134"/>
      <c r="AD283" s="134"/>
      <c r="AE283" s="134"/>
      <c r="AF283" s="134"/>
      <c r="AG283" s="134"/>
      <c r="AH283" s="134"/>
      <c r="AI283" s="134"/>
      <c r="AJ283" s="135"/>
      <c r="AK283" s="136"/>
      <c r="AL283" s="136"/>
      <c r="AM283" s="133" t="str">
        <f>IF([12]回答表!AD49="●",[12]回答表!B498,"")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IF([12]回答表!R50="●",[12]回答表!B511,"")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5884-3081-4883-9CBC-B9B61CA57877}">
  <sheetPr>
    <pageSetUpPr fitToPage="1"/>
  </sheetPr>
  <dimension ref="A1:CN315"/>
  <sheetViews>
    <sheetView showZeros="0" view="pageBreakPreview" zoomScale="60" zoomScaleNormal="55" workbookViewId="0">
      <selection activeCell="AK28" sqref="AK2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IF(COUNTIF([13]回答表!K15,"*")&gt;0,[13]回答表!K15,"")</f>
        <v>仙北市</v>
      </c>
      <c r="D11" s="8"/>
      <c r="E11" s="8"/>
      <c r="F11" s="8"/>
      <c r="G11" s="8"/>
      <c r="H11" s="8"/>
      <c r="I11" s="8"/>
      <c r="J11" s="8"/>
      <c r="K11" s="8"/>
      <c r="L11" s="8"/>
      <c r="M11" s="8"/>
      <c r="N11" s="8"/>
      <c r="O11" s="8"/>
      <c r="P11" s="8"/>
      <c r="Q11" s="8"/>
      <c r="R11" s="8"/>
      <c r="S11" s="8"/>
      <c r="T11" s="8"/>
      <c r="U11" s="22" t="str">
        <f>IF(COUNTIF([13]回答表!F17,"*")&gt;0,[13]回答表!F17,"")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IF(COUNTIF([13]回答表!W17,"*")&gt;0,[13]回答表!W17,"")</f>
        <v>老人短期入所施設</v>
      </c>
      <c r="AP11" s="10"/>
      <c r="AQ11" s="10"/>
      <c r="AR11" s="10"/>
      <c r="AS11" s="10"/>
      <c r="AT11" s="10"/>
      <c r="AU11" s="10"/>
      <c r="AV11" s="10"/>
      <c r="AW11" s="10"/>
      <c r="AX11" s="10"/>
      <c r="AY11" s="10"/>
      <c r="AZ11" s="10"/>
      <c r="BA11" s="10"/>
      <c r="BB11" s="10"/>
      <c r="BC11" s="10"/>
      <c r="BD11" s="10"/>
      <c r="BE11" s="10"/>
      <c r="BF11" s="11"/>
      <c r="BG11" s="21" t="str">
        <f>IF(COUNTIF([13]回答表!F19,"*")&gt;0,[13]回答表!F19,"")</f>
        <v>介護保険特別会計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IF([13]回答表!R43="●","●","")</f>
        <v/>
      </c>
      <c r="E24" s="80"/>
      <c r="F24" s="80"/>
      <c r="G24" s="80"/>
      <c r="H24" s="80"/>
      <c r="I24" s="80"/>
      <c r="J24" s="81"/>
      <c r="K24" s="79" t="str">
        <f>IF([13]回答表!R44="●","●","")</f>
        <v>●</v>
      </c>
      <c r="L24" s="80"/>
      <c r="M24" s="80"/>
      <c r="N24" s="80"/>
      <c r="O24" s="80"/>
      <c r="P24" s="80"/>
      <c r="Q24" s="81"/>
      <c r="R24" s="79" t="str">
        <f>IF([13]回答表!R45="●","●","")</f>
        <v/>
      </c>
      <c r="S24" s="80"/>
      <c r="T24" s="80"/>
      <c r="U24" s="80"/>
      <c r="V24" s="80"/>
      <c r="W24" s="80"/>
      <c r="X24" s="81"/>
      <c r="Y24" s="79" t="str">
        <f>IF([13]回答表!R46="●","●","")</f>
        <v/>
      </c>
      <c r="Z24" s="80"/>
      <c r="AA24" s="80"/>
      <c r="AB24" s="80"/>
      <c r="AC24" s="80"/>
      <c r="AD24" s="80"/>
      <c r="AE24" s="81"/>
      <c r="AF24" s="79" t="str">
        <f>IF([13]回答表!R47="●","●","")</f>
        <v/>
      </c>
      <c r="AG24" s="80"/>
      <c r="AH24" s="80"/>
      <c r="AI24" s="80"/>
      <c r="AJ24" s="80"/>
      <c r="AK24" s="80"/>
      <c r="AL24" s="81"/>
      <c r="AM24" s="79" t="str">
        <f>IF([13]回答表!R48="●","●","")</f>
        <v/>
      </c>
      <c r="AN24" s="80"/>
      <c r="AO24" s="80"/>
      <c r="AP24" s="80"/>
      <c r="AQ24" s="80"/>
      <c r="AR24" s="80"/>
      <c r="AS24" s="81"/>
      <c r="AT24" s="79" t="str">
        <f>IF([13]回答表!R49="●","●","")</f>
        <v/>
      </c>
      <c r="AU24" s="80"/>
      <c r="AV24" s="80"/>
      <c r="AW24" s="80"/>
      <c r="AX24" s="80"/>
      <c r="AY24" s="80"/>
      <c r="AZ24" s="81"/>
      <c r="BA24" s="68"/>
      <c r="BB24" s="82" t="str">
        <f>IF([13]回答表!R50="●","●","")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IF([13]回答表!X43="●","●","")</f>
        <v/>
      </c>
      <c r="O36" s="131"/>
      <c r="P36" s="131"/>
      <c r="Q36" s="132"/>
      <c r="R36" s="119"/>
      <c r="S36" s="119"/>
      <c r="T36" s="119"/>
      <c r="U36" s="133" t="str">
        <f>IF([13]回答表!X43="●",[13]回答表!B59,IF([13]回答表!AA43="●",[13]回答表!B79,""))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IF([13]回答表!X43="●",[13]回答表!S65,IF([13]回答表!AA43="●",[13]回答表!S85,""))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IF([13]回答表!X43="●",[13]回答表!G65,IF([13]回答表!AA43="●",[13]回答表!G85,""))</f>
        <v/>
      </c>
      <c r="AN38" s="83"/>
      <c r="AO38" s="83"/>
      <c r="AP38" s="83"/>
      <c r="AQ38" s="83"/>
      <c r="AR38" s="83"/>
      <c r="AS38" s="83"/>
      <c r="AT38" s="153"/>
      <c r="AU38" s="82" t="str">
        <f>IF([13]回答表!X43="●",[13]回答表!G66,IF([13]回答表!AA43="●",[13]回答表!G86,""))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IF([13]回答表!X43="●",[13]回答表!V65,IF([13]回答表!AA43="●",[13]回答表!V85,""))</f>
        <v/>
      </c>
      <c r="BG39" s="16"/>
      <c r="BH39" s="16"/>
      <c r="BI39" s="17"/>
      <c r="BJ39" s="150" t="str">
        <f>IF([13]回答表!X43="●",[13]回答表!V66,IF([13]回答表!AA43="●",[13]回答表!V86,""))</f>
        <v/>
      </c>
      <c r="BK39" s="16"/>
      <c r="BL39" s="16"/>
      <c r="BM39" s="17"/>
      <c r="BN39" s="150" t="str">
        <f>IF([13]回答表!X43="●",[13]回答表!V67,IF([13]回答表!AA43="●",[13]回答表!V87,""))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IF([13]回答表!X43="●",[13]回答表!O71,IF([13]回答表!AA43="●",[13]回答表!O91,""))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IF([13]回答表!X43="●",[13]回答表!O72,IF([13]回答表!AA43="●",[13]回答表!O92,""))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IF([13]回答表!X43="●",[13]回答表!O73,IF([13]回答表!AA43="●",[13]回答表!O93,""))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IF([13]回答表!X43="●",[13]回答表!O74,IF([13]回答表!AA43="●",[13]回答表!O94,""))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IF([13]回答表!X43="●",[13]回答表!AG71,IF([13]回答表!AA43="●",[13]回答表!AG91,""))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IF([13]回答表!X43="●",[13]回答表!AG72,IF([13]回答表!AA43="●",[13]回答表!AG92,""))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IF([13]回答表!AD43="●","●","")</f>
        <v/>
      </c>
      <c r="O51" s="131"/>
      <c r="P51" s="131"/>
      <c r="Q51" s="132"/>
      <c r="R51" s="119"/>
      <c r="S51" s="119"/>
      <c r="T51" s="119"/>
      <c r="U51" s="133" t="str">
        <f>IF([13]回答表!AD43="●",[13]回答表!B99,"")</f>
        <v/>
      </c>
      <c r="V51" s="134"/>
      <c r="W51" s="134"/>
      <c r="X51" s="134"/>
      <c r="Y51" s="134"/>
      <c r="Z51" s="134"/>
      <c r="AA51" s="134"/>
      <c r="AB51" s="134"/>
      <c r="AC51" s="134"/>
      <c r="AD51" s="134"/>
      <c r="AE51" s="134"/>
      <c r="AF51" s="134"/>
      <c r="AG51" s="134"/>
      <c r="AH51" s="134"/>
      <c r="AI51" s="134"/>
      <c r="AJ51" s="135"/>
      <c r="AK51" s="183"/>
      <c r="AL51" s="183"/>
      <c r="AM51" s="133" t="str">
        <f>IF([13]回答表!AD43="●",[13]回答表!B104,"")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IF([13]回答表!X44="●","●","")</f>
        <v>●</v>
      </c>
      <c r="O62" s="131"/>
      <c r="P62" s="131"/>
      <c r="Q62" s="132"/>
      <c r="R62" s="119"/>
      <c r="S62" s="119"/>
      <c r="T62" s="119"/>
      <c r="U62" s="313" t="str">
        <f>IF([13]回答表!X44="●",[13]回答表!B115,IF([13]回答表!AA44="●",[13]回答表!B127,""))</f>
        <v>市直営の特別養護老人ホーム桜苑を社会福祉法人に譲渡する。
（建物：無償譲渡、土地：無償譲渡）
　市の直接的な人員が不要となり、人件費等の財政負担が無くなった。</v>
      </c>
      <c r="V62" s="314"/>
      <c r="W62" s="314"/>
      <c r="X62" s="314"/>
      <c r="Y62" s="314"/>
      <c r="Z62" s="314"/>
      <c r="AA62" s="314"/>
      <c r="AB62" s="314"/>
      <c r="AC62" s="314"/>
      <c r="AD62" s="314"/>
      <c r="AE62" s="314"/>
      <c r="AF62" s="314"/>
      <c r="AG62" s="314"/>
      <c r="AH62" s="314"/>
      <c r="AI62" s="314"/>
      <c r="AJ62" s="31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IF([13]回答表!X44="●",[13]回答表!S121,IF([13]回答表!AA44="●",[13]回答表!S133,""))</f>
        <v>平成</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316"/>
      <c r="V63" s="317"/>
      <c r="W63" s="317"/>
      <c r="X63" s="317"/>
      <c r="Y63" s="317"/>
      <c r="Z63" s="317"/>
      <c r="AA63" s="317"/>
      <c r="AB63" s="317"/>
      <c r="AC63" s="317"/>
      <c r="AD63" s="317"/>
      <c r="AE63" s="317"/>
      <c r="AF63" s="317"/>
      <c r="AG63" s="317"/>
      <c r="AH63" s="317"/>
      <c r="AI63" s="317"/>
      <c r="AJ63" s="318"/>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316"/>
      <c r="V64" s="317"/>
      <c r="W64" s="317"/>
      <c r="X64" s="317"/>
      <c r="Y64" s="317"/>
      <c r="Z64" s="317"/>
      <c r="AA64" s="317"/>
      <c r="AB64" s="317"/>
      <c r="AC64" s="317"/>
      <c r="AD64" s="317"/>
      <c r="AE64" s="317"/>
      <c r="AF64" s="317"/>
      <c r="AG64" s="317"/>
      <c r="AH64" s="317"/>
      <c r="AI64" s="317"/>
      <c r="AJ64" s="318"/>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316"/>
      <c r="V65" s="317"/>
      <c r="W65" s="317"/>
      <c r="X65" s="317"/>
      <c r="Y65" s="317"/>
      <c r="Z65" s="317"/>
      <c r="AA65" s="317"/>
      <c r="AB65" s="317"/>
      <c r="AC65" s="317"/>
      <c r="AD65" s="317"/>
      <c r="AE65" s="317"/>
      <c r="AF65" s="317"/>
      <c r="AG65" s="317"/>
      <c r="AH65" s="317"/>
      <c r="AI65" s="317"/>
      <c r="AJ65" s="318"/>
      <c r="AK65" s="136"/>
      <c r="AL65" s="136"/>
      <c r="AM65" s="82" t="str">
        <f>IF([13]回答表!X44="●",[13]回答表!J121,IF([13]回答表!AA44="●",[13]回答表!J133,""))</f>
        <v>●</v>
      </c>
      <c r="AN65" s="83"/>
      <c r="AO65" s="83"/>
      <c r="AP65" s="83"/>
      <c r="AQ65" s="83"/>
      <c r="AR65" s="83"/>
      <c r="AS65" s="83"/>
      <c r="AT65" s="153"/>
      <c r="AU65" s="82" t="str">
        <f>IF([13]回答表!X44="●",[13]回答表!J122,IF([13]回答表!AA44="●",[13]回答表!J134,""))</f>
        <v xml:space="preserve"> </v>
      </c>
      <c r="AV65" s="83"/>
      <c r="AW65" s="83"/>
      <c r="AX65" s="83"/>
      <c r="AY65" s="83"/>
      <c r="AZ65" s="83"/>
      <c r="BA65" s="83"/>
      <c r="BB65" s="153"/>
      <c r="BC65" s="120"/>
      <c r="BD65" s="109"/>
      <c r="BE65" s="109"/>
      <c r="BF65" s="150">
        <f>IF([13]回答表!X44="●",[13]回答表!V121,IF([13]回答表!AA44="●",[13]回答表!V133,""))</f>
        <v>23</v>
      </c>
      <c r="BG65" s="151"/>
      <c r="BH65" s="151"/>
      <c r="BI65" s="151"/>
      <c r="BJ65" s="150">
        <f>IF([13]回答表!X44="●",[13]回答表!V122,IF([13]回答表!AA44="●",[13]回答表!V134,""))</f>
        <v>4</v>
      </c>
      <c r="BK65" s="151"/>
      <c r="BL65" s="151"/>
      <c r="BM65" s="151"/>
      <c r="BN65" s="150">
        <f>IF([13]回答表!X44="●",[13]回答表!V123,IF([13]回答表!AA44="●",[13]回答表!V135,""))</f>
        <v>1</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316"/>
      <c r="V66" s="317"/>
      <c r="W66" s="317"/>
      <c r="X66" s="317"/>
      <c r="Y66" s="317"/>
      <c r="Z66" s="317"/>
      <c r="AA66" s="317"/>
      <c r="AB66" s="317"/>
      <c r="AC66" s="317"/>
      <c r="AD66" s="317"/>
      <c r="AE66" s="317"/>
      <c r="AF66" s="317"/>
      <c r="AG66" s="317"/>
      <c r="AH66" s="317"/>
      <c r="AI66" s="317"/>
      <c r="AJ66" s="318"/>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316"/>
      <c r="V67" s="317"/>
      <c r="W67" s="317"/>
      <c r="X67" s="317"/>
      <c r="Y67" s="317"/>
      <c r="Z67" s="317"/>
      <c r="AA67" s="317"/>
      <c r="AB67" s="317"/>
      <c r="AC67" s="317"/>
      <c r="AD67" s="317"/>
      <c r="AE67" s="317"/>
      <c r="AF67" s="317"/>
      <c r="AG67" s="317"/>
      <c r="AH67" s="317"/>
      <c r="AI67" s="317"/>
      <c r="AJ67" s="318"/>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IF([13]回答表!AA44="●","●","")</f>
        <v/>
      </c>
      <c r="O68" s="131"/>
      <c r="P68" s="131"/>
      <c r="Q68" s="132"/>
      <c r="R68" s="119"/>
      <c r="S68" s="119"/>
      <c r="T68" s="119"/>
      <c r="U68" s="316"/>
      <c r="V68" s="317"/>
      <c r="W68" s="317"/>
      <c r="X68" s="317"/>
      <c r="Y68" s="317"/>
      <c r="Z68" s="317"/>
      <c r="AA68" s="317"/>
      <c r="AB68" s="317"/>
      <c r="AC68" s="317"/>
      <c r="AD68" s="317"/>
      <c r="AE68" s="317"/>
      <c r="AF68" s="317"/>
      <c r="AG68" s="317"/>
      <c r="AH68" s="317"/>
      <c r="AI68" s="317"/>
      <c r="AJ68" s="318"/>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316"/>
      <c r="V69" s="317"/>
      <c r="W69" s="317"/>
      <c r="X69" s="317"/>
      <c r="Y69" s="317"/>
      <c r="Z69" s="317"/>
      <c r="AA69" s="317"/>
      <c r="AB69" s="317"/>
      <c r="AC69" s="317"/>
      <c r="AD69" s="317"/>
      <c r="AE69" s="317"/>
      <c r="AF69" s="317"/>
      <c r="AG69" s="317"/>
      <c r="AH69" s="317"/>
      <c r="AI69" s="317"/>
      <c r="AJ69" s="318"/>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316"/>
      <c r="V70" s="317"/>
      <c r="W70" s="317"/>
      <c r="X70" s="317"/>
      <c r="Y70" s="317"/>
      <c r="Z70" s="317"/>
      <c r="AA70" s="317"/>
      <c r="AB70" s="317"/>
      <c r="AC70" s="317"/>
      <c r="AD70" s="317"/>
      <c r="AE70" s="317"/>
      <c r="AF70" s="317"/>
      <c r="AG70" s="317"/>
      <c r="AH70" s="317"/>
      <c r="AI70" s="317"/>
      <c r="AJ70" s="318"/>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319"/>
      <c r="V71" s="320"/>
      <c r="W71" s="320"/>
      <c r="X71" s="320"/>
      <c r="Y71" s="320"/>
      <c r="Z71" s="320"/>
      <c r="AA71" s="320"/>
      <c r="AB71" s="320"/>
      <c r="AC71" s="320"/>
      <c r="AD71" s="320"/>
      <c r="AE71" s="320"/>
      <c r="AF71" s="320"/>
      <c r="AG71" s="320"/>
      <c r="AH71" s="320"/>
      <c r="AI71" s="320"/>
      <c r="AJ71" s="32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IF([13]回答表!AD44="●","●","")</f>
        <v/>
      </c>
      <c r="O74" s="131"/>
      <c r="P74" s="131"/>
      <c r="Q74" s="132"/>
      <c r="R74" s="119"/>
      <c r="S74" s="119"/>
      <c r="T74" s="119"/>
      <c r="U74" s="133" t="str">
        <f>IF([13]回答表!AD44="●",[13]回答表!B140,"")</f>
        <v/>
      </c>
      <c r="V74" s="134"/>
      <c r="W74" s="134"/>
      <c r="X74" s="134"/>
      <c r="Y74" s="134"/>
      <c r="Z74" s="134"/>
      <c r="AA74" s="134"/>
      <c r="AB74" s="134"/>
      <c r="AC74" s="134"/>
      <c r="AD74" s="134"/>
      <c r="AE74" s="134"/>
      <c r="AF74" s="134"/>
      <c r="AG74" s="134"/>
      <c r="AH74" s="134"/>
      <c r="AI74" s="134"/>
      <c r="AJ74" s="135"/>
      <c r="AK74" s="183"/>
      <c r="AL74" s="183"/>
      <c r="AM74" s="133" t="str">
        <f>IF([13]回答表!AD44="●",[13]回答表!B146,"")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IF([13]回答表!F17="水道事業",IF([13]回答表!X45="●","●",""),"")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IF([13]回答表!F17="水道事業",IF([13]回答表!X45="●",[13]回答表!B158,IF([13]回答表!AA45="●",[13]回答表!B223,"")),"")</f>
        <v/>
      </c>
      <c r="AN86" s="201"/>
      <c r="AO86" s="201"/>
      <c r="AP86" s="201"/>
      <c r="AQ86" s="201"/>
      <c r="AR86" s="201"/>
      <c r="AS86" s="201"/>
      <c r="AT86" s="201"/>
      <c r="AU86" s="201"/>
      <c r="AV86" s="201"/>
      <c r="AW86" s="201"/>
      <c r="AX86" s="201"/>
      <c r="AY86" s="201"/>
      <c r="AZ86" s="201"/>
      <c r="BA86" s="201"/>
      <c r="BB86" s="201"/>
      <c r="BC86" s="202"/>
      <c r="BD86" s="109"/>
      <c r="BE86" s="109"/>
      <c r="BF86" s="138" t="str">
        <f>IF([13]回答表!F17="水道事業",IF([13]回答表!X45="●",[13]回答表!B212,IF([13]回答表!AA45="●",[13]回答表!B278,"")),"")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IF([13]回答表!F17="水道事業",IF([13]回答表!X45="●",[13]回答表!J166,IF([13]回答表!AA45="●",[13]回答表!J231,"")),"")</f>
        <v/>
      </c>
      <c r="V88" s="83"/>
      <c r="W88" s="83"/>
      <c r="X88" s="83"/>
      <c r="Y88" s="83"/>
      <c r="Z88" s="83"/>
      <c r="AA88" s="83"/>
      <c r="AB88" s="153"/>
      <c r="AC88" s="82" t="str">
        <f>IF([13]回答表!F17="水道事業",IF([13]回答表!X45="●",[13]回答表!J173,IF([13]回答表!AA45="●",[13]回答表!J238,"")),"")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IF([13]回答表!F17="水道事業",IF([13]回答表!X45="●",[13]回答表!E212,IF([13]回答表!AA45="●",[13]回答表!E278,"")),"")</f>
        <v/>
      </c>
      <c r="BG89" s="151"/>
      <c r="BH89" s="151"/>
      <c r="BI89" s="151"/>
      <c r="BJ89" s="150" t="str">
        <f>IF([13]回答表!F17="水道事業",IF([13]回答表!X45="●",[13]回答表!E213,IF([13]回答表!AA45="●",[13]回答表!E279,"")),"")</f>
        <v/>
      </c>
      <c r="BK89" s="151"/>
      <c r="BL89" s="151"/>
      <c r="BM89" s="151"/>
      <c r="BN89" s="150" t="str">
        <f>IF([13]回答表!F17="水道事業",IF([13]回答表!X45="●",[13]回答表!E214,IF([13]回答表!AA45="●",[13]回答表!E280,"")),"")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IF([13]回答表!F17="水道事業",IF([13]回答表!AA45="●","●",""),"")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IF([13]回答表!F17="水道事業",IF([13]回答表!X45="●",[13]回答表!J176,IF([13]回答表!AA45="●",[13]回答表!J241,"")),"")</f>
        <v/>
      </c>
      <c r="V93" s="83"/>
      <c r="W93" s="83"/>
      <c r="X93" s="83"/>
      <c r="Y93" s="83"/>
      <c r="Z93" s="83"/>
      <c r="AA93" s="83"/>
      <c r="AB93" s="153"/>
      <c r="AC93" s="82" t="str">
        <f>IF([13]回答表!F17="水道事業",IF([13]回答表!X45="●",[13]回答表!J180,IF([13]回答表!AA45="●",[13]回答表!J245,"")),"")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IF([13]回答表!F17="水道事業",IF([13]回答表!AD45="●","●",""),"")</f>
        <v/>
      </c>
      <c r="O98" s="131"/>
      <c r="P98" s="131"/>
      <c r="Q98" s="132"/>
      <c r="R98" s="119"/>
      <c r="S98" s="119"/>
      <c r="T98" s="119"/>
      <c r="U98" s="133" t="str">
        <f>IF([13]回答表!F17="水道事業",IF([13]回答表!AD45="●",[13]回答表!B289,""),"")</f>
        <v/>
      </c>
      <c r="V98" s="134"/>
      <c r="W98" s="134"/>
      <c r="X98" s="134"/>
      <c r="Y98" s="134"/>
      <c r="Z98" s="134"/>
      <c r="AA98" s="134"/>
      <c r="AB98" s="134"/>
      <c r="AC98" s="134"/>
      <c r="AD98" s="134"/>
      <c r="AE98" s="134"/>
      <c r="AF98" s="134"/>
      <c r="AG98" s="134"/>
      <c r="AH98" s="134"/>
      <c r="AI98" s="134"/>
      <c r="AJ98" s="135"/>
      <c r="AK98" s="183"/>
      <c r="AL98" s="183"/>
      <c r="AM98" s="133" t="str">
        <f>IF([13]回答表!F17="水道事業",IF([13]回答表!AD45="●",[13]回答表!B295,""),"")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IF([13]回答表!F17="簡易水道事業",IF([13]回答表!X45="●",[13]回答表!B158,IF([13]回答表!AA45="●",[13]回答表!B223,"")),"")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IF([13]回答表!F17="簡易水道事業",IF([13]回答表!X45="●",[13]回答表!B212,IF([13]回答表!AA45="●",[13]回答表!B278,"")),"")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IF([13]回答表!F17="簡易水道事業",IF([13]回答表!X45="●","●",""),"")</f>
        <v/>
      </c>
      <c r="O112" s="131"/>
      <c r="P112" s="131"/>
      <c r="Q112" s="132"/>
      <c r="R112" s="119"/>
      <c r="S112" s="119"/>
      <c r="T112" s="119"/>
      <c r="U112" s="82" t="str">
        <f>IF([13]回答表!F17="簡易水道事業",IF([13]回答表!X45="●",[13]回答表!Y185,IF([13]回答表!AA45="●",[13]回答表!Y251,"")),"")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IF([13]回答表!F17="簡易水道事業",IF([13]回答表!X45="●",[13]回答表!E212,IF([13]回答表!AA45="●",[13]回答表!E278,"")),"")</f>
        <v/>
      </c>
      <c r="BG113" s="151"/>
      <c r="BH113" s="151"/>
      <c r="BI113" s="151"/>
      <c r="BJ113" s="150" t="str">
        <f>IF([13]回答表!F17="簡易水道事業",IF([13]回答表!X45="●",[13]回答表!E213,IF([13]回答表!AA45="●",[13]回答表!E279,"")),"")</f>
        <v/>
      </c>
      <c r="BK113" s="151"/>
      <c r="BL113" s="151"/>
      <c r="BM113" s="151"/>
      <c r="BN113" s="150" t="str">
        <f>IF([13]回答表!F17="簡易水道事業",IF([13]回答表!X45="●",[13]回答表!E214,IF([13]回答表!AA45="●",[13]回答表!E280,"")),"")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IF([13]回答表!F17="簡易水道事業",IF([13]回答表!X45="●",[13]回答表!Y186,IF([13]回答表!AA45="●",[13]回答表!Y252,"")),"")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IF([13]回答表!F17="簡易水道事業",IF([13]回答表!AA45="●","●",""),"")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IF([13]回答表!F17="簡易水道事業",IF([13]回答表!X45="●",[13]回答表!Y187,IF([13]回答表!AA45="●",[13]回答表!Y253,"")),"")</f>
        <v/>
      </c>
      <c r="V122" s="83"/>
      <c r="W122" s="83"/>
      <c r="X122" s="83"/>
      <c r="Y122" s="83"/>
      <c r="Z122" s="83"/>
      <c r="AA122" s="83"/>
      <c r="AB122" s="83"/>
      <c r="AC122" s="83"/>
      <c r="AD122" s="83"/>
      <c r="AE122" s="83"/>
      <c r="AF122" s="83"/>
      <c r="AG122" s="83"/>
      <c r="AH122" s="83"/>
      <c r="AI122" s="83"/>
      <c r="AJ122" s="153"/>
      <c r="AK122" s="68"/>
      <c r="AL122" s="68"/>
      <c r="AM122" s="233" t="str">
        <f>IF([13]回答表!F17="簡易水道事業",IF([13]回答表!X45="●",[13]回答表!Y189,IF([13]回答表!AA45="●",[13]回答表!Y255,"")),"")</f>
        <v/>
      </c>
      <c r="AN122" s="233"/>
      <c r="AO122" s="233"/>
      <c r="AP122" s="233"/>
      <c r="AQ122" s="233"/>
      <c r="AR122" s="233"/>
      <c r="AS122" s="233" t="str">
        <f>IF([13]回答表!F17="簡易水道事業",IF([13]回答表!X45="●",[13]回答表!Y190,IF([13]回答表!AA45="●",[13]回答表!Y256,"")),"")</f>
        <v/>
      </c>
      <c r="AT122" s="233"/>
      <c r="AU122" s="233"/>
      <c r="AV122" s="233"/>
      <c r="AW122" s="233"/>
      <c r="AX122" s="233"/>
      <c r="AY122" s="233" t="str">
        <f>IF([13]回答表!F17="簡易水道事業",IF([13]回答表!X45="●",[13]回答表!Y191,IF([13]回答表!AA45="●",[13]回答表!Y257,"")),"")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IF([13]回答表!F17="簡易水道事業",IF([13]回答表!AD45="●","●",""),"")</f>
        <v/>
      </c>
      <c r="O127" s="131"/>
      <c r="P127" s="131"/>
      <c r="Q127" s="132"/>
      <c r="R127" s="119"/>
      <c r="S127" s="119"/>
      <c r="T127" s="119"/>
      <c r="U127" s="133" t="str">
        <f>IF([13]回答表!F17="簡易水道事業",IF([13]回答表!AD45="●",[13]回答表!B289,""),"")</f>
        <v/>
      </c>
      <c r="V127" s="134"/>
      <c r="W127" s="134"/>
      <c r="X127" s="134"/>
      <c r="Y127" s="134"/>
      <c r="Z127" s="134"/>
      <c r="AA127" s="134"/>
      <c r="AB127" s="134"/>
      <c r="AC127" s="134"/>
      <c r="AD127" s="134"/>
      <c r="AE127" s="134"/>
      <c r="AF127" s="134"/>
      <c r="AG127" s="134"/>
      <c r="AH127" s="134"/>
      <c r="AI127" s="134"/>
      <c r="AJ127" s="135"/>
      <c r="AK127" s="183"/>
      <c r="AL127" s="183"/>
      <c r="AM127" s="133" t="str">
        <f>IF([13]回答表!F17="簡易水道事業",IF([13]回答表!AD45="●",[13]回答表!B295,""),"")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IF([13]回答表!F17="下水道事業",IF([13]回答表!X45="●","●",""),"")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IF([13]回答表!F17="下水道事業",IF([13]回答表!X45="●",[13]回答表!B158,IF([13]回答表!AA45="●",[13]回答表!B223,"")),"")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IF([13]回答表!F17="下水道事業",IF([13]回答表!X45="●",[13]回答表!B212,IF([13]回答表!AA45="●",[13]回答表!B278,"")),"")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IF([13]回答表!F17="下水道事業",IF([13]回答表!X45="●",[13]回答表!Y193,IF([13]回答表!AA45="●",[13]回答表!Y259,"")),"")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IF([13]回答表!F17="下水道事業",IF([13]回答表!X45="●",[13]回答表!E212,IF([13]回答表!AA45="●",[13]回答表!E278,"")),"")</f>
        <v/>
      </c>
      <c r="BG142" s="151"/>
      <c r="BH142" s="151"/>
      <c r="BI142" s="151"/>
      <c r="BJ142" s="150" t="str">
        <f>IF([13]回答表!F17="下水道事業",IF([13]回答表!X45="●",[13]回答表!E213,IF([13]回答表!AA45="●",[13]回答表!E279,"")),"")</f>
        <v/>
      </c>
      <c r="BK142" s="151"/>
      <c r="BL142" s="151"/>
      <c r="BM142" s="151"/>
      <c r="BN142" s="150" t="str">
        <f>IF([13]回答表!F17="下水道事業",IF([13]回答表!X45="●",[13]回答表!E214,IF([13]回答表!AA45="●",[13]回答表!E280,"")),"")</f>
        <v/>
      </c>
      <c r="BO142" s="151"/>
      <c r="BP142" s="151"/>
      <c r="BQ142" s="152"/>
      <c r="BR142" s="112"/>
      <c r="BX142" s="200" t="str">
        <f>IF([13]回答表!AQ20="下水道事業",IF([13]回答表!BI48="○",[13]回答表!AM161,IF([13]回答表!BL48="○",[13]回答表!AM226,"")),"")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IF([13]回答表!F17="下水道事業",IF([13]回答表!X45="●",[13]回答表!Y195,IF([13]回答表!AA45="●",[13]回答表!Y261,"")),"")</f>
        <v/>
      </c>
      <c r="V147" s="83"/>
      <c r="W147" s="83"/>
      <c r="X147" s="83"/>
      <c r="Y147" s="83"/>
      <c r="Z147" s="83"/>
      <c r="AA147" s="83"/>
      <c r="AB147" s="153"/>
      <c r="AC147" s="82" t="str">
        <f>IF([13]回答表!F17="下水道事業",IF([13]回答表!X45="●",[13]回答表!Y196,IF([13]回答表!AA45="●",[13]回答表!Y262,"")),"")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IF([13]回答表!F17="下水道事業",IF([13]回答表!X45="●",[13]回答表!Y198,IF([13]回答表!AA45="●",[13]回答表!Y264,"")),"")</f>
        <v/>
      </c>
      <c r="V153" s="83"/>
      <c r="W153" s="83"/>
      <c r="X153" s="83"/>
      <c r="Y153" s="83"/>
      <c r="Z153" s="83"/>
      <c r="AA153" s="83"/>
      <c r="AB153" s="153"/>
      <c r="AC153" s="82" t="str">
        <f>IF([13]回答表!F17="下水道事業",IF([13]回答表!X45="●",[13]回答表!Y199,IF([13]回答表!AA45="●",[13]回答表!Y265,"")),"")</f>
        <v/>
      </c>
      <c r="AD153" s="83"/>
      <c r="AE153" s="83"/>
      <c r="AF153" s="83"/>
      <c r="AG153" s="83"/>
      <c r="AH153" s="83"/>
      <c r="AI153" s="83"/>
      <c r="AJ153" s="153"/>
      <c r="AK153" s="82" t="str">
        <f>IF([13]回答表!F17="下水道事業",IF([13]回答表!X45="●",[13]回答表!Y200,IF([13]回答表!AA45="●",[13]回答表!Y266,"")),"")</f>
        <v/>
      </c>
      <c r="AL153" s="83"/>
      <c r="AM153" s="83"/>
      <c r="AN153" s="83"/>
      <c r="AO153" s="83"/>
      <c r="AP153" s="83"/>
      <c r="AQ153" s="83"/>
      <c r="AR153" s="153"/>
      <c r="AS153" s="82" t="str">
        <f>IF([13]回答表!F17="下水道事業",IF([13]回答表!X45="●",[13]回答表!Y201,IF([13]回答表!AA45="●",[13]回答表!Y267,"")),"")</f>
        <v/>
      </c>
      <c r="AT153" s="83"/>
      <c r="AU153" s="83"/>
      <c r="AV153" s="83"/>
      <c r="AW153" s="83"/>
      <c r="AX153" s="83"/>
      <c r="AY153" s="83"/>
      <c r="AZ153" s="153"/>
      <c r="BA153" s="82" t="str">
        <f>IF([13]回答表!F17="下水道事業",IF([13]回答表!X45="●",[13]回答表!Y202,IF([13]回答表!AA45="●",[13]回答表!Y268,"")),"")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IF([13]回答表!F17="下水道事業",IF([13]回答表!AA45="●","●",""),"")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IF([13]回答表!F17="下水道事業",IF([13]回答表!X45="●",[13]回答表!Y207,IF([13]回答表!AA45="●",[13]回答表!Y273,"")),"")</f>
        <v/>
      </c>
      <c r="V159" s="83"/>
      <c r="W159" s="83"/>
      <c r="X159" s="83"/>
      <c r="Y159" s="83"/>
      <c r="Z159" s="83"/>
      <c r="AA159" s="83"/>
      <c r="AB159" s="153"/>
      <c r="AC159" s="82" t="str">
        <f>IF([13]回答表!F17="下水道事業",IF([13]回答表!X45="●",[13]回答表!Y208,IF([13]回答表!AA45="●",[13]回答表!Y274,"")),"")</f>
        <v/>
      </c>
      <c r="AD159" s="83"/>
      <c r="AE159" s="83"/>
      <c r="AF159" s="83"/>
      <c r="AG159" s="83"/>
      <c r="AH159" s="83"/>
      <c r="AI159" s="83"/>
      <c r="AJ159" s="153"/>
      <c r="AK159" s="82" t="str">
        <f>IF([13]回答表!F17="下水道事業",IF([13]回答表!X45="●",[13]回答表!Y209,IF([13]回答表!AA45="●",[13]回答表!Y275,"")),"")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IF([13]回答表!F17="下水道事業",IF([13]回答表!AD45="●","●",""),"")</f>
        <v/>
      </c>
      <c r="O164" s="131"/>
      <c r="P164" s="131"/>
      <c r="Q164" s="132"/>
      <c r="R164" s="119"/>
      <c r="S164" s="119"/>
      <c r="T164" s="119"/>
      <c r="U164" s="133" t="str">
        <f>IF([13]回答表!F17="下水道事業",IF([13]回答表!AD45="●",[13]回答表!B289,""),"")</f>
        <v/>
      </c>
      <c r="V164" s="134"/>
      <c r="W164" s="134"/>
      <c r="X164" s="134"/>
      <c r="Y164" s="134"/>
      <c r="Z164" s="134"/>
      <c r="AA164" s="134"/>
      <c r="AB164" s="134"/>
      <c r="AC164" s="134"/>
      <c r="AD164" s="134"/>
      <c r="AE164" s="134"/>
      <c r="AF164" s="134"/>
      <c r="AG164" s="134"/>
      <c r="AH164" s="134"/>
      <c r="AI164" s="134"/>
      <c r="AJ164" s="135"/>
      <c r="AK164" s="183"/>
      <c r="AL164" s="183"/>
      <c r="AM164" s="133" t="str">
        <f>IF([13]回答表!F17="下水道事業",IF([13]回答表!AD45="●",[13]回答表!B295,""),"")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IF([13]回答表!BD17="●",IF([13]回答表!X45="●","●",""),"")</f>
        <v/>
      </c>
      <c r="O176" s="131"/>
      <c r="P176" s="131"/>
      <c r="Q176" s="132"/>
      <c r="R176" s="119"/>
      <c r="S176" s="119"/>
      <c r="T176" s="119"/>
      <c r="U176" s="133" t="str">
        <f>IF([13]回答表!BD17="●",IF([13]回答表!X45="●",[13]回答表!B158,IF([13]回答表!AA45="●",[13]回答表!B223,"")),"")</f>
        <v/>
      </c>
      <c r="V176" s="134"/>
      <c r="W176" s="134"/>
      <c r="X176" s="134"/>
      <c r="Y176" s="134"/>
      <c r="Z176" s="134"/>
      <c r="AA176" s="134"/>
      <c r="AB176" s="134"/>
      <c r="AC176" s="134"/>
      <c r="AD176" s="134"/>
      <c r="AE176" s="134"/>
      <c r="AF176" s="134"/>
      <c r="AG176" s="134"/>
      <c r="AH176" s="134"/>
      <c r="AI176" s="134"/>
      <c r="AJ176" s="135"/>
      <c r="AK176" s="136"/>
      <c r="AL176" s="136"/>
      <c r="AM176" s="138" t="str">
        <f>IF([13]回答表!BD17="●",IF([13]回答表!X45="●",[13]回答表!B212,IF([13]回答表!AA45="●",[13]回答表!B278,"")),"")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IF([13]回答表!BD17="●",IF([13]回答表!X45="●",[13]回答表!E212,IF([13]回答表!AA45="●",[13]回答表!E278,"")),"")</f>
        <v/>
      </c>
      <c r="AN179" s="151"/>
      <c r="AO179" s="151"/>
      <c r="AP179" s="151"/>
      <c r="AQ179" s="150" t="str">
        <f>IF([13]回答表!BD17="●",IF([13]回答表!X45="●",[13]回答表!E213,IF([13]回答表!AA45="●",[13]回答表!E279,"")),"")</f>
        <v/>
      </c>
      <c r="AR179" s="151"/>
      <c r="AS179" s="151"/>
      <c r="AT179" s="151"/>
      <c r="AU179" s="150" t="str">
        <f>IF([13]回答表!BD17="●",IF([13]回答表!X45="●",[13]回答表!E214,IF([13]回答表!AA45="●",[13]回答表!E280,"")),"")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IF([13]回答表!BD17="●",IF([13]回答表!AA45="●","●",""),"")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IF([13]回答表!BD17="●",IF([13]回答表!AD45="●","●",""),"")</f>
        <v/>
      </c>
      <c r="O188" s="131"/>
      <c r="P188" s="131"/>
      <c r="Q188" s="132"/>
      <c r="R188" s="119"/>
      <c r="S188" s="119"/>
      <c r="T188" s="119"/>
      <c r="U188" s="133" t="str">
        <f>IF([13]回答表!BD17="●",IF([13]回答表!AD45="●",[13]回答表!B289,""),"")</f>
        <v/>
      </c>
      <c r="V188" s="134"/>
      <c r="W188" s="134"/>
      <c r="X188" s="134"/>
      <c r="Y188" s="134"/>
      <c r="Z188" s="134"/>
      <c r="AA188" s="134"/>
      <c r="AB188" s="134"/>
      <c r="AC188" s="134"/>
      <c r="AD188" s="134"/>
      <c r="AE188" s="134"/>
      <c r="AF188" s="134"/>
      <c r="AG188" s="134"/>
      <c r="AH188" s="134"/>
      <c r="AI188" s="134"/>
      <c r="AJ188" s="135"/>
      <c r="AK188" s="183"/>
      <c r="AL188" s="183"/>
      <c r="AM188" s="133" t="str">
        <f>IF([13]回答表!BD17="●",IF([13]回答表!AD45="●",[13]回答表!B295,""),"")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IF([13]回答表!X46="●","●","")</f>
        <v/>
      </c>
      <c r="O200" s="131"/>
      <c r="P200" s="131"/>
      <c r="Q200" s="132"/>
      <c r="R200" s="119"/>
      <c r="S200" s="119"/>
      <c r="T200" s="119"/>
      <c r="U200" s="133" t="str">
        <f>IF([13]回答表!X46="●",[13]回答表!B307,IF([13]回答表!AA46="●",[13]回答表!B324,""))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IF([13]回答表!X46="●",[13]回答表!U313,IF([13]回答表!AA46="●",[13]回答表!U330,""))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IF([13]回答表!X46="●",[13]回答表!G313,IF([13]回答表!AA46="●",[13]回答表!G330,""))</f>
        <v/>
      </c>
      <c r="AN203" s="83"/>
      <c r="AO203" s="83"/>
      <c r="AP203" s="83"/>
      <c r="AQ203" s="83"/>
      <c r="AR203" s="83"/>
      <c r="AS203" s="83"/>
      <c r="AT203" s="153"/>
      <c r="AU203" s="82" t="str">
        <f>IF([13]回答表!X46="●",[13]回答表!G314,IF([13]回答表!AA46="●",[13]回答表!G331,""))</f>
        <v/>
      </c>
      <c r="AV203" s="83"/>
      <c r="AW203" s="83"/>
      <c r="AX203" s="83"/>
      <c r="AY203" s="83"/>
      <c r="AZ203" s="83"/>
      <c r="BA203" s="83"/>
      <c r="BB203" s="153"/>
      <c r="BC203" s="120"/>
      <c r="BD203" s="109"/>
      <c r="BE203" s="109"/>
      <c r="BF203" s="150" t="str">
        <f>IF([13]回答表!X46="●",[13]回答表!X313,IF([13]回答表!AA46="●",[13]回答表!X330,""))</f>
        <v/>
      </c>
      <c r="BG203" s="151"/>
      <c r="BH203" s="151"/>
      <c r="BI203" s="151"/>
      <c r="BJ203" s="150" t="str">
        <f>IF([13]回答表!X46="●",[13]回答表!X314,IF([13]回答表!AA46="●",[13]回答表!X331,""))</f>
        <v/>
      </c>
      <c r="BK203" s="151"/>
      <c r="BL203" s="151"/>
      <c r="BM203" s="152"/>
      <c r="BN203" s="150" t="str">
        <f>IF([13]回答表!X46="●",[13]回答表!X315,IF([13]回答表!AA46="●",[13]回答表!X332,""))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IF([13]回答表!AD46="●","●","")</f>
        <v/>
      </c>
      <c r="O212" s="131"/>
      <c r="P212" s="131"/>
      <c r="Q212" s="132"/>
      <c r="R212" s="119"/>
      <c r="S212" s="119"/>
      <c r="T212" s="119"/>
      <c r="U212" s="133" t="str">
        <f>IF([13]回答表!AD46="●",[13]回答表!B337,"")</f>
        <v/>
      </c>
      <c r="V212" s="134"/>
      <c r="W212" s="134"/>
      <c r="X212" s="134"/>
      <c r="Y212" s="134"/>
      <c r="Z212" s="134"/>
      <c r="AA212" s="134"/>
      <c r="AB212" s="134"/>
      <c r="AC212" s="134"/>
      <c r="AD212" s="134"/>
      <c r="AE212" s="134"/>
      <c r="AF212" s="134"/>
      <c r="AG212" s="134"/>
      <c r="AH212" s="134"/>
      <c r="AI212" s="134"/>
      <c r="AJ212" s="135"/>
      <c r="AK212" s="259"/>
      <c r="AL212" s="259"/>
      <c r="AM212" s="133" t="str">
        <f>IF([13]回答表!AD46="●",[13]回答表!B343,"")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IF([13]回答表!X47="●","●","")</f>
        <v/>
      </c>
      <c r="O224" s="131"/>
      <c r="P224" s="131"/>
      <c r="Q224" s="132"/>
      <c r="R224" s="119"/>
      <c r="S224" s="119"/>
      <c r="T224" s="119"/>
      <c r="U224" s="133" t="str">
        <f>IF([13]回答表!X47="●",[13]回答表!B356,IF([13]回答表!AA47="●",[13]回答表!B379,""))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IF([13]回答表!X47="●",[13]回答表!B362,"")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IF([13]回答表!X47="●",[13]回答表!B368,IF([13]回答表!AA47="●",[13]回答表!B385,""))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IF([13]回答表!X47="●",[13]回答表!E368,IF([13]回答表!AA47="●",[13]回答表!E385,""))</f>
        <v/>
      </c>
      <c r="BG227" s="151"/>
      <c r="BH227" s="151"/>
      <c r="BI227" s="151"/>
      <c r="BJ227" s="150" t="str">
        <f>IF([13]回答表!X47="●",[13]回答表!E369,IF([13]回答表!AA47="●",[13]回答表!E386,""))</f>
        <v/>
      </c>
      <c r="BK227" s="151"/>
      <c r="BL227" s="151"/>
      <c r="BM227" s="152"/>
      <c r="BN227" s="150" t="str">
        <f>IF([13]回答表!X47="●",[13]回答表!E370,IF([13]回答表!AA47="●",[13]回答表!E387,""))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IF([13]回答表!AD47="●","●","")</f>
        <v/>
      </c>
      <c r="O236" s="131"/>
      <c r="P236" s="131"/>
      <c r="Q236" s="132"/>
      <c r="R236" s="119"/>
      <c r="S236" s="119"/>
      <c r="T236" s="119"/>
      <c r="U236" s="133" t="str">
        <f>IF([13]回答表!AD47="●",[13]回答表!B392,"")</f>
        <v/>
      </c>
      <c r="V236" s="134"/>
      <c r="W236" s="134"/>
      <c r="X236" s="134"/>
      <c r="Y236" s="134"/>
      <c r="Z236" s="134"/>
      <c r="AA236" s="134"/>
      <c r="AB236" s="134"/>
      <c r="AC236" s="134"/>
      <c r="AD236" s="134"/>
      <c r="AE236" s="134"/>
      <c r="AF236" s="134"/>
      <c r="AG236" s="134"/>
      <c r="AH236" s="134"/>
      <c r="AI236" s="134"/>
      <c r="AJ236" s="135"/>
      <c r="AK236" s="259"/>
      <c r="AL236" s="259"/>
      <c r="AM236" s="133" t="str">
        <f>IF([13]回答表!AD47="●",[13]回答表!B398,"")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IF([13]回答表!X48="●","●","")</f>
        <v/>
      </c>
      <c r="O248" s="131"/>
      <c r="P248" s="131"/>
      <c r="Q248" s="132"/>
      <c r="R248" s="119"/>
      <c r="S248" s="119"/>
      <c r="T248" s="119"/>
      <c r="U248" s="133" t="str">
        <f>IF([13]回答表!X48="●",[13]回答表!B411,IF([13]回答表!AA48="●",[13]回答表!B425,""))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IF([13]回答表!X48="●",[13]回答表!BC418,IF([13]回答表!AA48="●",[13]回答表!BC432,""))</f>
        <v/>
      </c>
      <c r="AR248" s="272"/>
      <c r="AS248" s="272"/>
      <c r="AT248" s="272"/>
      <c r="AU248" s="273" t="s">
        <v>73</v>
      </c>
      <c r="AV248" s="274"/>
      <c r="AW248" s="274"/>
      <c r="AX248" s="275"/>
      <c r="AY248" s="272" t="str">
        <f>IF([13]回答表!X48="●",[13]回答表!BC423,IF([13]回答表!AA48="●",[13]回答表!BC437,""))</f>
        <v/>
      </c>
      <c r="AZ248" s="272"/>
      <c r="BA248" s="272"/>
      <c r="BB248" s="272"/>
      <c r="BC248" s="120"/>
      <c r="BD248" s="109"/>
      <c r="BE248" s="109"/>
      <c r="BF248" s="138" t="str">
        <f>IF([13]回答表!X48="●",[13]回答表!S417,IF([13]回答表!AA48="●",[13]回答表!S431,""))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IF([13]回答表!X48="●",[13]回答表!BC419,IF([13]回答表!AA48="●",[13]回答表!BC433,""))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IF([13]回答表!X48="●",[13]回答表!V417,IF([13]回答表!AA48="●",[13]回答表!V431,""))</f>
        <v/>
      </c>
      <c r="BG251" s="151"/>
      <c r="BH251" s="151"/>
      <c r="BI251" s="151"/>
      <c r="BJ251" s="150" t="str">
        <f>IF([13]回答表!X48="●",[13]回答表!V418,IF([13]回答表!AA48="●",[13]回答表!V432,""))</f>
        <v/>
      </c>
      <c r="BK251" s="151"/>
      <c r="BL251" s="151"/>
      <c r="BM251" s="152"/>
      <c r="BN251" s="150" t="str">
        <f>IF([13]回答表!X48="●",[13]回答表!V419,IF([13]回答表!AA48="●",[13]回答表!V433,""))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IF([13]回答表!X48="●",[13]回答表!BC420,IF([13]回答表!AA48="●",[13]回答表!BC434,""))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IF([13]回答表!X48="●",[13]回答表!BC424,IF([13]回答表!AA48="●",[13]回答表!BC438,""))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IF([13]回答表!X48="●",[13]回答表!BC421,IF([13]回答表!AA48="●",[13]回答表!BC435,""))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IF([13]回答表!X48="●",[13]回答表!BC422,IF([13]回答表!AA48="●",[13]回答表!BC436,""))</f>
        <v/>
      </c>
      <c r="AR256" s="272"/>
      <c r="AS256" s="272"/>
      <c r="AT256" s="272"/>
      <c r="AU256" s="224" t="s">
        <v>79</v>
      </c>
      <c r="AV256" s="225"/>
      <c r="AW256" s="225"/>
      <c r="AX256" s="226"/>
      <c r="AY256" s="282" t="str">
        <f>IF([13]回答表!X48="●",[13]回答表!BC425,IF([13]回答表!AA48="●",[13]回答表!BC439,""))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IF([13]回答表!AD48="●","●","")</f>
        <v/>
      </c>
      <c r="O260" s="131"/>
      <c r="P260" s="131"/>
      <c r="Q260" s="132"/>
      <c r="R260" s="119"/>
      <c r="S260" s="119"/>
      <c r="T260" s="119"/>
      <c r="U260" s="133" t="str">
        <f>IF([13]回答表!AD48="●",[13]回答表!B439,"")</f>
        <v/>
      </c>
      <c r="V260" s="134"/>
      <c r="W260" s="134"/>
      <c r="X260" s="134"/>
      <c r="Y260" s="134"/>
      <c r="Z260" s="134"/>
      <c r="AA260" s="134"/>
      <c r="AB260" s="134"/>
      <c r="AC260" s="134"/>
      <c r="AD260" s="134"/>
      <c r="AE260" s="134"/>
      <c r="AF260" s="134"/>
      <c r="AG260" s="134"/>
      <c r="AH260" s="134"/>
      <c r="AI260" s="134"/>
      <c r="AJ260" s="135"/>
      <c r="AK260" s="183"/>
      <c r="AL260" s="183"/>
      <c r="AM260" s="133" t="str">
        <f>IF([13]回答表!AD48="●",[13]回答表!B445,"")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IF([13]回答表!X49="●","●","")</f>
        <v/>
      </c>
      <c r="O271" s="131"/>
      <c r="P271" s="131"/>
      <c r="Q271" s="132"/>
      <c r="R271" s="119"/>
      <c r="S271" s="119"/>
      <c r="T271" s="119"/>
      <c r="U271" s="133" t="str">
        <f>IF([13]回答表!X49="●",[13]回答表!B458,IF([13]回答表!AA49="●",[13]回答表!B475,""))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IF([13]回答表!X49="●",[13]回答表!B468,IF([13]回答表!AA49="●",[13]回答表!B485,""))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IF([13]回答表!X49="●",[13]回答表!G464,IF([13]回答表!AA49="●",[13]回答表!G481,""))</f>
        <v/>
      </c>
      <c r="AN273" s="83"/>
      <c r="AO273" s="83"/>
      <c r="AP273" s="83"/>
      <c r="AQ273" s="83"/>
      <c r="AR273" s="83"/>
      <c r="AS273" s="83"/>
      <c r="AT273" s="153"/>
      <c r="AU273" s="82" t="str">
        <f>IF([13]回答表!X49="●",[13]回答表!G465,IF([13]回答表!AA49="●",[13]回答表!G482,""))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IF([13]回答表!X49="●",[13]回答表!E468,IF([13]回答表!AA49="●",[13]回答表!E485,""))</f>
        <v/>
      </c>
      <c r="BG274" s="151"/>
      <c r="BH274" s="151"/>
      <c r="BI274" s="151"/>
      <c r="BJ274" s="150" t="str">
        <f>IF([13]回答表!X49="●",[13]回答表!E469,IF([13]回答表!AA49="●",[13]回答表!E486,""))</f>
        <v/>
      </c>
      <c r="BK274" s="151"/>
      <c r="BL274" s="151"/>
      <c r="BM274" s="152"/>
      <c r="BN274" s="150" t="str">
        <f>IF([13]回答表!X49="●",[13]回答表!E470,IF([13]回答表!AA49="●",[13]回答表!E487,""))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IF([13]回答表!AD49="●","●","")</f>
        <v/>
      </c>
      <c r="O283" s="131"/>
      <c r="P283" s="131"/>
      <c r="Q283" s="132"/>
      <c r="R283" s="119"/>
      <c r="S283" s="119"/>
      <c r="T283" s="119"/>
      <c r="U283" s="133" t="str">
        <f>IF([13]回答表!AD49="●",[13]回答表!B492,"")</f>
        <v/>
      </c>
      <c r="V283" s="134"/>
      <c r="W283" s="134"/>
      <c r="X283" s="134"/>
      <c r="Y283" s="134"/>
      <c r="Z283" s="134"/>
      <c r="AA283" s="134"/>
      <c r="AB283" s="134"/>
      <c r="AC283" s="134"/>
      <c r="AD283" s="134"/>
      <c r="AE283" s="134"/>
      <c r="AF283" s="134"/>
      <c r="AG283" s="134"/>
      <c r="AH283" s="134"/>
      <c r="AI283" s="134"/>
      <c r="AJ283" s="135"/>
      <c r="AK283" s="136"/>
      <c r="AL283" s="136"/>
      <c r="AM283" s="133" t="str">
        <f>IF([13]回答表!AD49="●",[13]回答表!B498,"")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IF([13]回答表!R50="●",[13]回答表!B511,"")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FD529-7183-4E90-9349-A1A1D0B53FB5}">
  <sheetPr>
    <pageSetUpPr fitToPage="1"/>
  </sheetPr>
  <dimension ref="A1:CN315"/>
  <sheetViews>
    <sheetView showZeros="0" view="pageBreakPreview" zoomScale="60" zoomScaleNormal="55" workbookViewId="0">
      <selection activeCell="AL14" sqref="AL1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IF(COUNTIF([14]回答表!K15,"*")&gt;0,[14]回答表!K15,"")</f>
        <v>仙北市</v>
      </c>
      <c r="D11" s="8"/>
      <c r="E11" s="8"/>
      <c r="F11" s="8"/>
      <c r="G11" s="8"/>
      <c r="H11" s="8"/>
      <c r="I11" s="8"/>
      <c r="J11" s="8"/>
      <c r="K11" s="8"/>
      <c r="L11" s="8"/>
      <c r="M11" s="8"/>
      <c r="N11" s="8"/>
      <c r="O11" s="8"/>
      <c r="P11" s="8"/>
      <c r="Q11" s="8"/>
      <c r="R11" s="8"/>
      <c r="S11" s="8"/>
      <c r="T11" s="8"/>
      <c r="U11" s="22" t="str">
        <f>IF(COUNTIF([14]回答表!F17,"*")&gt;0,[14]回答表!F17,"")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IF(COUNTIF([14]回答表!W17,"*")&gt;0,[14]回答表!W17,"")</f>
        <v>老人デイサービスセンター</v>
      </c>
      <c r="AP11" s="10"/>
      <c r="AQ11" s="10"/>
      <c r="AR11" s="10"/>
      <c r="AS11" s="10"/>
      <c r="AT11" s="10"/>
      <c r="AU11" s="10"/>
      <c r="AV11" s="10"/>
      <c r="AW11" s="10"/>
      <c r="AX11" s="10"/>
      <c r="AY11" s="10"/>
      <c r="AZ11" s="10"/>
      <c r="BA11" s="10"/>
      <c r="BB11" s="10"/>
      <c r="BC11" s="10"/>
      <c r="BD11" s="10"/>
      <c r="BE11" s="10"/>
      <c r="BF11" s="11"/>
      <c r="BG11" s="21" t="str">
        <f>IF(COUNTIF([14]回答表!F19,"*")&gt;0,[14]回答表!F19,"")</f>
        <v>介護保険特別会計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IF([14]回答表!R43="●","●","")</f>
        <v/>
      </c>
      <c r="E24" s="80"/>
      <c r="F24" s="80"/>
      <c r="G24" s="80"/>
      <c r="H24" s="80"/>
      <c r="I24" s="80"/>
      <c r="J24" s="81"/>
      <c r="K24" s="79" t="str">
        <f>IF([14]回答表!R44="●","●","")</f>
        <v/>
      </c>
      <c r="L24" s="80"/>
      <c r="M24" s="80"/>
      <c r="N24" s="80"/>
      <c r="O24" s="80"/>
      <c r="P24" s="80"/>
      <c r="Q24" s="81"/>
      <c r="R24" s="79" t="str">
        <f>IF([14]回答表!R45="●","●","")</f>
        <v/>
      </c>
      <c r="S24" s="80"/>
      <c r="T24" s="80"/>
      <c r="U24" s="80"/>
      <c r="V24" s="80"/>
      <c r="W24" s="80"/>
      <c r="X24" s="81"/>
      <c r="Y24" s="79" t="str">
        <f>IF([14]回答表!R46="●","●","")</f>
        <v>●</v>
      </c>
      <c r="Z24" s="80"/>
      <c r="AA24" s="80"/>
      <c r="AB24" s="80"/>
      <c r="AC24" s="80"/>
      <c r="AD24" s="80"/>
      <c r="AE24" s="81"/>
      <c r="AF24" s="79" t="str">
        <f>IF([14]回答表!R47="●","●","")</f>
        <v/>
      </c>
      <c r="AG24" s="80"/>
      <c r="AH24" s="80"/>
      <c r="AI24" s="80"/>
      <c r="AJ24" s="80"/>
      <c r="AK24" s="80"/>
      <c r="AL24" s="81"/>
      <c r="AM24" s="79" t="str">
        <f>IF([14]回答表!R48="●","●","")</f>
        <v/>
      </c>
      <c r="AN24" s="80"/>
      <c r="AO24" s="80"/>
      <c r="AP24" s="80"/>
      <c r="AQ24" s="80"/>
      <c r="AR24" s="80"/>
      <c r="AS24" s="81"/>
      <c r="AT24" s="79" t="str">
        <f>IF([14]回答表!R49="●","●","")</f>
        <v/>
      </c>
      <c r="AU24" s="80"/>
      <c r="AV24" s="80"/>
      <c r="AW24" s="80"/>
      <c r="AX24" s="80"/>
      <c r="AY24" s="80"/>
      <c r="AZ24" s="81"/>
      <c r="BA24" s="68"/>
      <c r="BB24" s="82" t="str">
        <f>IF([14]回答表!R50="●","●","")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IF([14]回答表!X43="●","●","")</f>
        <v/>
      </c>
      <c r="O36" s="131"/>
      <c r="P36" s="131"/>
      <c r="Q36" s="132"/>
      <c r="R36" s="119"/>
      <c r="S36" s="119"/>
      <c r="T36" s="119"/>
      <c r="U36" s="133" t="str">
        <f>IF([14]回答表!X43="●",[14]回答表!B59,IF([14]回答表!AA43="●",[14]回答表!B79,""))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IF([14]回答表!X43="●",[14]回答表!S65,IF([14]回答表!AA43="●",[14]回答表!S85,""))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IF([14]回答表!X43="●",[14]回答表!G65,IF([14]回答表!AA43="●",[14]回答表!G85,""))</f>
        <v/>
      </c>
      <c r="AN38" s="83"/>
      <c r="AO38" s="83"/>
      <c r="AP38" s="83"/>
      <c r="AQ38" s="83"/>
      <c r="AR38" s="83"/>
      <c r="AS38" s="83"/>
      <c r="AT38" s="153"/>
      <c r="AU38" s="82" t="str">
        <f>IF([14]回答表!X43="●",[14]回答表!G66,IF([14]回答表!AA43="●",[14]回答表!G86,""))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IF([14]回答表!X43="●",[14]回答表!V65,IF([14]回答表!AA43="●",[14]回答表!V85,""))</f>
        <v/>
      </c>
      <c r="BG39" s="16"/>
      <c r="BH39" s="16"/>
      <c r="BI39" s="17"/>
      <c r="BJ39" s="150" t="str">
        <f>IF([14]回答表!X43="●",[14]回答表!V66,IF([14]回答表!AA43="●",[14]回答表!V86,""))</f>
        <v/>
      </c>
      <c r="BK39" s="16"/>
      <c r="BL39" s="16"/>
      <c r="BM39" s="17"/>
      <c r="BN39" s="150" t="str">
        <f>IF([14]回答表!X43="●",[14]回答表!V67,IF([14]回答表!AA43="●",[14]回答表!V87,""))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IF([14]回答表!X43="●",[14]回答表!O71,IF([14]回答表!AA43="●",[14]回答表!O91,""))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IF([14]回答表!X43="●",[14]回答表!O72,IF([14]回答表!AA43="●",[14]回答表!O92,""))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IF([14]回答表!X43="●",[14]回答表!O73,IF([14]回答表!AA43="●",[14]回答表!O93,""))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IF([14]回答表!X43="●",[14]回答表!O74,IF([14]回答表!AA43="●",[14]回答表!O94,""))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IF([14]回答表!X43="●",[14]回答表!AG71,IF([14]回答表!AA43="●",[14]回答表!AG91,""))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IF([14]回答表!X43="●",[14]回答表!AG72,IF([14]回答表!AA43="●",[14]回答表!AG92,""))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IF([14]回答表!AD43="●","●","")</f>
        <v/>
      </c>
      <c r="O51" s="131"/>
      <c r="P51" s="131"/>
      <c r="Q51" s="132"/>
      <c r="R51" s="119"/>
      <c r="S51" s="119"/>
      <c r="T51" s="119"/>
      <c r="U51" s="133" t="str">
        <f>IF([14]回答表!AD43="●",[14]回答表!B99,"")</f>
        <v/>
      </c>
      <c r="V51" s="134"/>
      <c r="W51" s="134"/>
      <c r="X51" s="134"/>
      <c r="Y51" s="134"/>
      <c r="Z51" s="134"/>
      <c r="AA51" s="134"/>
      <c r="AB51" s="134"/>
      <c r="AC51" s="134"/>
      <c r="AD51" s="134"/>
      <c r="AE51" s="134"/>
      <c r="AF51" s="134"/>
      <c r="AG51" s="134"/>
      <c r="AH51" s="134"/>
      <c r="AI51" s="134"/>
      <c r="AJ51" s="135"/>
      <c r="AK51" s="183"/>
      <c r="AL51" s="183"/>
      <c r="AM51" s="133" t="str">
        <f>IF([14]回答表!AD43="●",[14]回答表!B104,"")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IF([14]回答表!X44="●","●","")</f>
        <v/>
      </c>
      <c r="O62" s="131"/>
      <c r="P62" s="131"/>
      <c r="Q62" s="132"/>
      <c r="R62" s="119"/>
      <c r="S62" s="119"/>
      <c r="T62" s="119"/>
      <c r="U62" s="133" t="str">
        <f>IF([14]回答表!X44="●",[14]回答表!B115,IF([14]回答表!AA44="●",[14]回答表!B127,""))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IF([14]回答表!X44="●",[14]回答表!S121,IF([14]回答表!AA44="●",[14]回答表!S133,""))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IF([14]回答表!X44="●",[14]回答表!J121,IF([14]回答表!AA44="●",[14]回答表!J133,""))</f>
        <v/>
      </c>
      <c r="AN65" s="83"/>
      <c r="AO65" s="83"/>
      <c r="AP65" s="83"/>
      <c r="AQ65" s="83"/>
      <c r="AR65" s="83"/>
      <c r="AS65" s="83"/>
      <c r="AT65" s="153"/>
      <c r="AU65" s="82" t="str">
        <f>IF([14]回答表!X44="●",[14]回答表!J122,IF([14]回答表!AA44="●",[14]回答表!J134,""))</f>
        <v/>
      </c>
      <c r="AV65" s="83"/>
      <c r="AW65" s="83"/>
      <c r="AX65" s="83"/>
      <c r="AY65" s="83"/>
      <c r="AZ65" s="83"/>
      <c r="BA65" s="83"/>
      <c r="BB65" s="153"/>
      <c r="BC65" s="120"/>
      <c r="BD65" s="109"/>
      <c r="BE65" s="109"/>
      <c r="BF65" s="150" t="str">
        <f>IF([14]回答表!X44="●",[14]回答表!V121,IF([14]回答表!AA44="●",[14]回答表!V133,""))</f>
        <v/>
      </c>
      <c r="BG65" s="151"/>
      <c r="BH65" s="151"/>
      <c r="BI65" s="151"/>
      <c r="BJ65" s="150" t="str">
        <f>IF([14]回答表!X44="●",[14]回答表!V122,IF([14]回答表!AA44="●",[14]回答表!V134,""))</f>
        <v/>
      </c>
      <c r="BK65" s="151"/>
      <c r="BL65" s="151"/>
      <c r="BM65" s="151"/>
      <c r="BN65" s="150" t="str">
        <f>IF([14]回答表!X44="●",[14]回答表!V123,IF([14]回答表!AA44="●",[14]回答表!V135,""))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IF([14]回答表!AD44="●","●","")</f>
        <v/>
      </c>
      <c r="O74" s="131"/>
      <c r="P74" s="131"/>
      <c r="Q74" s="132"/>
      <c r="R74" s="119"/>
      <c r="S74" s="119"/>
      <c r="T74" s="119"/>
      <c r="U74" s="133" t="str">
        <f>IF([14]回答表!AD44="●",[14]回答表!B140,"")</f>
        <v/>
      </c>
      <c r="V74" s="134"/>
      <c r="W74" s="134"/>
      <c r="X74" s="134"/>
      <c r="Y74" s="134"/>
      <c r="Z74" s="134"/>
      <c r="AA74" s="134"/>
      <c r="AB74" s="134"/>
      <c r="AC74" s="134"/>
      <c r="AD74" s="134"/>
      <c r="AE74" s="134"/>
      <c r="AF74" s="134"/>
      <c r="AG74" s="134"/>
      <c r="AH74" s="134"/>
      <c r="AI74" s="134"/>
      <c r="AJ74" s="135"/>
      <c r="AK74" s="183"/>
      <c r="AL74" s="183"/>
      <c r="AM74" s="133" t="str">
        <f>IF([14]回答表!AD44="●",[14]回答表!B146,"")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IF([14]回答表!F17="水道事業",IF([14]回答表!X45="●","●",""),"")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IF([14]回答表!F17="水道事業",IF([14]回答表!X45="●",[14]回答表!B158,IF([14]回答表!AA45="●",[14]回答表!B223,"")),"")</f>
        <v/>
      </c>
      <c r="AN86" s="201"/>
      <c r="AO86" s="201"/>
      <c r="AP86" s="201"/>
      <c r="AQ86" s="201"/>
      <c r="AR86" s="201"/>
      <c r="AS86" s="201"/>
      <c r="AT86" s="201"/>
      <c r="AU86" s="201"/>
      <c r="AV86" s="201"/>
      <c r="AW86" s="201"/>
      <c r="AX86" s="201"/>
      <c r="AY86" s="201"/>
      <c r="AZ86" s="201"/>
      <c r="BA86" s="201"/>
      <c r="BB86" s="201"/>
      <c r="BC86" s="202"/>
      <c r="BD86" s="109"/>
      <c r="BE86" s="109"/>
      <c r="BF86" s="138" t="str">
        <f>IF([14]回答表!F17="水道事業",IF([14]回答表!X45="●",[14]回答表!B212,IF([14]回答表!AA45="●",[14]回答表!B278,"")),"")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IF([14]回答表!F17="水道事業",IF([14]回答表!X45="●",[14]回答表!J166,IF([14]回答表!AA45="●",[14]回答表!J231,"")),"")</f>
        <v/>
      </c>
      <c r="V88" s="83"/>
      <c r="W88" s="83"/>
      <c r="X88" s="83"/>
      <c r="Y88" s="83"/>
      <c r="Z88" s="83"/>
      <c r="AA88" s="83"/>
      <c r="AB88" s="153"/>
      <c r="AC88" s="82" t="str">
        <f>IF([14]回答表!F17="水道事業",IF([14]回答表!X45="●",[14]回答表!J173,IF([14]回答表!AA45="●",[14]回答表!J238,"")),"")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IF([14]回答表!F17="水道事業",IF([14]回答表!X45="●",[14]回答表!E212,IF([14]回答表!AA45="●",[14]回答表!E278,"")),"")</f>
        <v/>
      </c>
      <c r="BG89" s="151"/>
      <c r="BH89" s="151"/>
      <c r="BI89" s="151"/>
      <c r="BJ89" s="150" t="str">
        <f>IF([14]回答表!F17="水道事業",IF([14]回答表!X45="●",[14]回答表!E213,IF([14]回答表!AA45="●",[14]回答表!E279,"")),"")</f>
        <v/>
      </c>
      <c r="BK89" s="151"/>
      <c r="BL89" s="151"/>
      <c r="BM89" s="151"/>
      <c r="BN89" s="150" t="str">
        <f>IF([14]回答表!F17="水道事業",IF([14]回答表!X45="●",[14]回答表!E214,IF([14]回答表!AA45="●",[14]回答表!E280,"")),"")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IF([14]回答表!F17="水道事業",IF([14]回答表!AA45="●","●",""),"")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IF([14]回答表!F17="水道事業",IF([14]回答表!X45="●",[14]回答表!J176,IF([14]回答表!AA45="●",[14]回答表!J241,"")),"")</f>
        <v/>
      </c>
      <c r="V93" s="83"/>
      <c r="W93" s="83"/>
      <c r="X93" s="83"/>
      <c r="Y93" s="83"/>
      <c r="Z93" s="83"/>
      <c r="AA93" s="83"/>
      <c r="AB93" s="153"/>
      <c r="AC93" s="82" t="str">
        <f>IF([14]回答表!F17="水道事業",IF([14]回答表!X45="●",[14]回答表!J180,IF([14]回答表!AA45="●",[14]回答表!J245,"")),"")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IF([14]回答表!F17="水道事業",IF([14]回答表!AD45="●","●",""),"")</f>
        <v/>
      </c>
      <c r="O98" s="131"/>
      <c r="P98" s="131"/>
      <c r="Q98" s="132"/>
      <c r="R98" s="119"/>
      <c r="S98" s="119"/>
      <c r="T98" s="119"/>
      <c r="U98" s="133" t="str">
        <f>IF([14]回答表!F17="水道事業",IF([14]回答表!AD45="●",[14]回答表!B289,""),"")</f>
        <v/>
      </c>
      <c r="V98" s="134"/>
      <c r="W98" s="134"/>
      <c r="X98" s="134"/>
      <c r="Y98" s="134"/>
      <c r="Z98" s="134"/>
      <c r="AA98" s="134"/>
      <c r="AB98" s="134"/>
      <c r="AC98" s="134"/>
      <c r="AD98" s="134"/>
      <c r="AE98" s="134"/>
      <c r="AF98" s="134"/>
      <c r="AG98" s="134"/>
      <c r="AH98" s="134"/>
      <c r="AI98" s="134"/>
      <c r="AJ98" s="135"/>
      <c r="AK98" s="183"/>
      <c r="AL98" s="183"/>
      <c r="AM98" s="133" t="str">
        <f>IF([14]回答表!F17="水道事業",IF([14]回答表!AD45="●",[14]回答表!B295,""),"")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IF([14]回答表!F17="簡易水道事業",IF([14]回答表!X45="●",[14]回答表!B158,IF([14]回答表!AA45="●",[14]回答表!B223,"")),"")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IF([14]回答表!F17="簡易水道事業",IF([14]回答表!X45="●",[14]回答表!B212,IF([14]回答表!AA45="●",[14]回答表!B278,"")),"")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IF([14]回答表!F17="簡易水道事業",IF([14]回答表!X45="●","●",""),"")</f>
        <v/>
      </c>
      <c r="O112" s="131"/>
      <c r="P112" s="131"/>
      <c r="Q112" s="132"/>
      <c r="R112" s="119"/>
      <c r="S112" s="119"/>
      <c r="T112" s="119"/>
      <c r="U112" s="82" t="str">
        <f>IF([14]回答表!F17="簡易水道事業",IF([14]回答表!X45="●",[14]回答表!Y185,IF([14]回答表!AA45="●",[14]回答表!Y251,"")),"")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IF([14]回答表!F17="簡易水道事業",IF([14]回答表!X45="●",[14]回答表!E212,IF([14]回答表!AA45="●",[14]回答表!E278,"")),"")</f>
        <v/>
      </c>
      <c r="BG113" s="151"/>
      <c r="BH113" s="151"/>
      <c r="BI113" s="151"/>
      <c r="BJ113" s="150" t="str">
        <f>IF([14]回答表!F17="簡易水道事業",IF([14]回答表!X45="●",[14]回答表!E213,IF([14]回答表!AA45="●",[14]回答表!E279,"")),"")</f>
        <v/>
      </c>
      <c r="BK113" s="151"/>
      <c r="BL113" s="151"/>
      <c r="BM113" s="151"/>
      <c r="BN113" s="150" t="str">
        <f>IF([14]回答表!F17="簡易水道事業",IF([14]回答表!X45="●",[14]回答表!E214,IF([14]回答表!AA45="●",[14]回答表!E280,"")),"")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IF([14]回答表!F17="簡易水道事業",IF([14]回答表!X45="●",[14]回答表!Y186,IF([14]回答表!AA45="●",[14]回答表!Y252,"")),"")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IF([14]回答表!F17="簡易水道事業",IF([14]回答表!AA45="●","●",""),"")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IF([14]回答表!F17="簡易水道事業",IF([14]回答表!X45="●",[14]回答表!Y187,IF([14]回答表!AA45="●",[14]回答表!Y253,"")),"")</f>
        <v/>
      </c>
      <c r="V122" s="83"/>
      <c r="W122" s="83"/>
      <c r="X122" s="83"/>
      <c r="Y122" s="83"/>
      <c r="Z122" s="83"/>
      <c r="AA122" s="83"/>
      <c r="AB122" s="83"/>
      <c r="AC122" s="83"/>
      <c r="AD122" s="83"/>
      <c r="AE122" s="83"/>
      <c r="AF122" s="83"/>
      <c r="AG122" s="83"/>
      <c r="AH122" s="83"/>
      <c r="AI122" s="83"/>
      <c r="AJ122" s="153"/>
      <c r="AK122" s="68"/>
      <c r="AL122" s="68"/>
      <c r="AM122" s="233" t="str">
        <f>IF([14]回答表!F17="簡易水道事業",IF([14]回答表!X45="●",[14]回答表!Y189,IF([14]回答表!AA45="●",[14]回答表!Y255,"")),"")</f>
        <v/>
      </c>
      <c r="AN122" s="233"/>
      <c r="AO122" s="233"/>
      <c r="AP122" s="233"/>
      <c r="AQ122" s="233"/>
      <c r="AR122" s="233"/>
      <c r="AS122" s="233" t="str">
        <f>IF([14]回答表!F17="簡易水道事業",IF([14]回答表!X45="●",[14]回答表!Y190,IF([14]回答表!AA45="●",[14]回答表!Y256,"")),"")</f>
        <v/>
      </c>
      <c r="AT122" s="233"/>
      <c r="AU122" s="233"/>
      <c r="AV122" s="233"/>
      <c r="AW122" s="233"/>
      <c r="AX122" s="233"/>
      <c r="AY122" s="233" t="str">
        <f>IF([14]回答表!F17="簡易水道事業",IF([14]回答表!X45="●",[14]回答表!Y191,IF([14]回答表!AA45="●",[14]回答表!Y257,"")),"")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IF([14]回答表!F17="簡易水道事業",IF([14]回答表!AD45="●","●",""),"")</f>
        <v/>
      </c>
      <c r="O127" s="131"/>
      <c r="P127" s="131"/>
      <c r="Q127" s="132"/>
      <c r="R127" s="119"/>
      <c r="S127" s="119"/>
      <c r="T127" s="119"/>
      <c r="U127" s="133" t="str">
        <f>IF([14]回答表!F17="簡易水道事業",IF([14]回答表!AD45="●",[14]回答表!B289,""),"")</f>
        <v/>
      </c>
      <c r="V127" s="134"/>
      <c r="W127" s="134"/>
      <c r="X127" s="134"/>
      <c r="Y127" s="134"/>
      <c r="Z127" s="134"/>
      <c r="AA127" s="134"/>
      <c r="AB127" s="134"/>
      <c r="AC127" s="134"/>
      <c r="AD127" s="134"/>
      <c r="AE127" s="134"/>
      <c r="AF127" s="134"/>
      <c r="AG127" s="134"/>
      <c r="AH127" s="134"/>
      <c r="AI127" s="134"/>
      <c r="AJ127" s="135"/>
      <c r="AK127" s="183"/>
      <c r="AL127" s="183"/>
      <c r="AM127" s="133" t="str">
        <f>IF([14]回答表!F17="簡易水道事業",IF([14]回答表!AD45="●",[14]回答表!B295,""),"")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IF([14]回答表!F17="下水道事業",IF([14]回答表!X45="●","●",""),"")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IF([14]回答表!F17="下水道事業",IF([14]回答表!X45="●",[14]回答表!B158,IF([14]回答表!AA45="●",[14]回答表!B223,"")),"")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IF([14]回答表!F17="下水道事業",IF([14]回答表!X45="●",[14]回答表!B212,IF([14]回答表!AA45="●",[14]回答表!B278,"")),"")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IF([14]回答表!F17="下水道事業",IF([14]回答表!X45="●",[14]回答表!Y193,IF([14]回答表!AA45="●",[14]回答表!Y259,"")),"")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IF([14]回答表!F17="下水道事業",IF([14]回答表!X45="●",[14]回答表!E212,IF([14]回答表!AA45="●",[14]回答表!E278,"")),"")</f>
        <v/>
      </c>
      <c r="BG142" s="151"/>
      <c r="BH142" s="151"/>
      <c r="BI142" s="151"/>
      <c r="BJ142" s="150" t="str">
        <f>IF([14]回答表!F17="下水道事業",IF([14]回答表!X45="●",[14]回答表!E213,IF([14]回答表!AA45="●",[14]回答表!E279,"")),"")</f>
        <v/>
      </c>
      <c r="BK142" s="151"/>
      <c r="BL142" s="151"/>
      <c r="BM142" s="151"/>
      <c r="BN142" s="150" t="str">
        <f>IF([14]回答表!F17="下水道事業",IF([14]回答表!X45="●",[14]回答表!E214,IF([14]回答表!AA45="●",[14]回答表!E280,"")),"")</f>
        <v/>
      </c>
      <c r="BO142" s="151"/>
      <c r="BP142" s="151"/>
      <c r="BQ142" s="152"/>
      <c r="BR142" s="112"/>
      <c r="BX142" s="200" t="str">
        <f>IF([14]回答表!AQ20="下水道事業",IF([14]回答表!BI48="○",[14]回答表!AM161,IF([14]回答表!BL48="○",[14]回答表!AM226,"")),"")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IF([14]回答表!F17="下水道事業",IF([14]回答表!X45="●",[14]回答表!Y195,IF([14]回答表!AA45="●",[14]回答表!Y261,"")),"")</f>
        <v/>
      </c>
      <c r="V147" s="83"/>
      <c r="W147" s="83"/>
      <c r="X147" s="83"/>
      <c r="Y147" s="83"/>
      <c r="Z147" s="83"/>
      <c r="AA147" s="83"/>
      <c r="AB147" s="153"/>
      <c r="AC147" s="82" t="str">
        <f>IF([14]回答表!F17="下水道事業",IF([14]回答表!X45="●",[14]回答表!Y196,IF([14]回答表!AA45="●",[14]回答表!Y262,"")),"")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IF([14]回答表!F17="下水道事業",IF([14]回答表!X45="●",[14]回答表!Y198,IF([14]回答表!AA45="●",[14]回答表!Y264,"")),"")</f>
        <v/>
      </c>
      <c r="V153" s="83"/>
      <c r="W153" s="83"/>
      <c r="X153" s="83"/>
      <c r="Y153" s="83"/>
      <c r="Z153" s="83"/>
      <c r="AA153" s="83"/>
      <c r="AB153" s="153"/>
      <c r="AC153" s="82" t="str">
        <f>IF([14]回答表!F17="下水道事業",IF([14]回答表!X45="●",[14]回答表!Y199,IF([14]回答表!AA45="●",[14]回答表!Y265,"")),"")</f>
        <v/>
      </c>
      <c r="AD153" s="83"/>
      <c r="AE153" s="83"/>
      <c r="AF153" s="83"/>
      <c r="AG153" s="83"/>
      <c r="AH153" s="83"/>
      <c r="AI153" s="83"/>
      <c r="AJ153" s="153"/>
      <c r="AK153" s="82" t="str">
        <f>IF([14]回答表!F17="下水道事業",IF([14]回答表!X45="●",[14]回答表!Y200,IF([14]回答表!AA45="●",[14]回答表!Y266,"")),"")</f>
        <v/>
      </c>
      <c r="AL153" s="83"/>
      <c r="AM153" s="83"/>
      <c r="AN153" s="83"/>
      <c r="AO153" s="83"/>
      <c r="AP153" s="83"/>
      <c r="AQ153" s="83"/>
      <c r="AR153" s="153"/>
      <c r="AS153" s="82" t="str">
        <f>IF([14]回答表!F17="下水道事業",IF([14]回答表!X45="●",[14]回答表!Y201,IF([14]回答表!AA45="●",[14]回答表!Y267,"")),"")</f>
        <v/>
      </c>
      <c r="AT153" s="83"/>
      <c r="AU153" s="83"/>
      <c r="AV153" s="83"/>
      <c r="AW153" s="83"/>
      <c r="AX153" s="83"/>
      <c r="AY153" s="83"/>
      <c r="AZ153" s="153"/>
      <c r="BA153" s="82" t="str">
        <f>IF([14]回答表!F17="下水道事業",IF([14]回答表!X45="●",[14]回答表!Y202,IF([14]回答表!AA45="●",[14]回答表!Y268,"")),"")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IF([14]回答表!F17="下水道事業",IF([14]回答表!AA45="●","●",""),"")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IF([14]回答表!F17="下水道事業",IF([14]回答表!X45="●",[14]回答表!Y207,IF([14]回答表!AA45="●",[14]回答表!Y273,"")),"")</f>
        <v/>
      </c>
      <c r="V159" s="83"/>
      <c r="W159" s="83"/>
      <c r="X159" s="83"/>
      <c r="Y159" s="83"/>
      <c r="Z159" s="83"/>
      <c r="AA159" s="83"/>
      <c r="AB159" s="153"/>
      <c r="AC159" s="82" t="str">
        <f>IF([14]回答表!F17="下水道事業",IF([14]回答表!X45="●",[14]回答表!Y208,IF([14]回答表!AA45="●",[14]回答表!Y274,"")),"")</f>
        <v/>
      </c>
      <c r="AD159" s="83"/>
      <c r="AE159" s="83"/>
      <c r="AF159" s="83"/>
      <c r="AG159" s="83"/>
      <c r="AH159" s="83"/>
      <c r="AI159" s="83"/>
      <c r="AJ159" s="153"/>
      <c r="AK159" s="82" t="str">
        <f>IF([14]回答表!F17="下水道事業",IF([14]回答表!X45="●",[14]回答表!Y209,IF([14]回答表!AA45="●",[14]回答表!Y275,"")),"")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IF([14]回答表!F17="下水道事業",IF([14]回答表!AD45="●","●",""),"")</f>
        <v/>
      </c>
      <c r="O164" s="131"/>
      <c r="P164" s="131"/>
      <c r="Q164" s="132"/>
      <c r="R164" s="119"/>
      <c r="S164" s="119"/>
      <c r="T164" s="119"/>
      <c r="U164" s="133" t="str">
        <f>IF([14]回答表!F17="下水道事業",IF([14]回答表!AD45="●",[14]回答表!B289,""),"")</f>
        <v/>
      </c>
      <c r="V164" s="134"/>
      <c r="W164" s="134"/>
      <c r="X164" s="134"/>
      <c r="Y164" s="134"/>
      <c r="Z164" s="134"/>
      <c r="AA164" s="134"/>
      <c r="AB164" s="134"/>
      <c r="AC164" s="134"/>
      <c r="AD164" s="134"/>
      <c r="AE164" s="134"/>
      <c r="AF164" s="134"/>
      <c r="AG164" s="134"/>
      <c r="AH164" s="134"/>
      <c r="AI164" s="134"/>
      <c r="AJ164" s="135"/>
      <c r="AK164" s="183"/>
      <c r="AL164" s="183"/>
      <c r="AM164" s="133" t="str">
        <f>IF([14]回答表!F17="下水道事業",IF([14]回答表!AD45="●",[14]回答表!B295,""),"")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IF([14]回答表!BD17="●",IF([14]回答表!X45="●","●",""),"")</f>
        <v/>
      </c>
      <c r="O176" s="131"/>
      <c r="P176" s="131"/>
      <c r="Q176" s="132"/>
      <c r="R176" s="119"/>
      <c r="S176" s="119"/>
      <c r="T176" s="119"/>
      <c r="U176" s="133" t="str">
        <f>IF([14]回答表!BD17="●",IF([14]回答表!X45="●",[14]回答表!B158,IF([14]回答表!AA45="●",[14]回答表!B223,"")),"")</f>
        <v/>
      </c>
      <c r="V176" s="134"/>
      <c r="W176" s="134"/>
      <c r="X176" s="134"/>
      <c r="Y176" s="134"/>
      <c r="Z176" s="134"/>
      <c r="AA176" s="134"/>
      <c r="AB176" s="134"/>
      <c r="AC176" s="134"/>
      <c r="AD176" s="134"/>
      <c r="AE176" s="134"/>
      <c r="AF176" s="134"/>
      <c r="AG176" s="134"/>
      <c r="AH176" s="134"/>
      <c r="AI176" s="134"/>
      <c r="AJ176" s="135"/>
      <c r="AK176" s="136"/>
      <c r="AL176" s="136"/>
      <c r="AM176" s="138" t="str">
        <f>IF([14]回答表!BD17="●",IF([14]回答表!X45="●",[14]回答表!B212,IF([14]回答表!AA45="●",[14]回答表!B278,"")),"")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IF([14]回答表!BD17="●",IF([14]回答表!X45="●",[14]回答表!E212,IF([14]回答表!AA45="●",[14]回答表!E278,"")),"")</f>
        <v/>
      </c>
      <c r="AN179" s="151"/>
      <c r="AO179" s="151"/>
      <c r="AP179" s="151"/>
      <c r="AQ179" s="150" t="str">
        <f>IF([14]回答表!BD17="●",IF([14]回答表!X45="●",[14]回答表!E213,IF([14]回答表!AA45="●",[14]回答表!E279,"")),"")</f>
        <v/>
      </c>
      <c r="AR179" s="151"/>
      <c r="AS179" s="151"/>
      <c r="AT179" s="151"/>
      <c r="AU179" s="150" t="str">
        <f>IF([14]回答表!BD17="●",IF([14]回答表!X45="●",[14]回答表!E214,IF([14]回答表!AA45="●",[14]回答表!E280,"")),"")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IF([14]回答表!BD17="●",IF([14]回答表!AA45="●","●",""),"")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IF([14]回答表!BD17="●",IF([14]回答表!AD45="●","●",""),"")</f>
        <v/>
      </c>
      <c r="O188" s="131"/>
      <c r="P188" s="131"/>
      <c r="Q188" s="132"/>
      <c r="R188" s="119"/>
      <c r="S188" s="119"/>
      <c r="T188" s="119"/>
      <c r="U188" s="133" t="str">
        <f>IF([14]回答表!BD17="●",IF([14]回答表!AD45="●",[14]回答表!B289,""),"")</f>
        <v/>
      </c>
      <c r="V188" s="134"/>
      <c r="W188" s="134"/>
      <c r="X188" s="134"/>
      <c r="Y188" s="134"/>
      <c r="Z188" s="134"/>
      <c r="AA188" s="134"/>
      <c r="AB188" s="134"/>
      <c r="AC188" s="134"/>
      <c r="AD188" s="134"/>
      <c r="AE188" s="134"/>
      <c r="AF188" s="134"/>
      <c r="AG188" s="134"/>
      <c r="AH188" s="134"/>
      <c r="AI188" s="134"/>
      <c r="AJ188" s="135"/>
      <c r="AK188" s="183"/>
      <c r="AL188" s="183"/>
      <c r="AM188" s="133" t="str">
        <f>IF([14]回答表!BD17="●",IF([14]回答表!AD45="●",[14]回答表!B295,""),"")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22.5" customHeight="1" x14ac:dyDescent="0.4">
      <c r="C200" s="101"/>
      <c r="D200" s="194" t="s">
        <v>18</v>
      </c>
      <c r="E200" s="194"/>
      <c r="F200" s="194"/>
      <c r="G200" s="194"/>
      <c r="H200" s="194"/>
      <c r="I200" s="194"/>
      <c r="J200" s="194"/>
      <c r="K200" s="194"/>
      <c r="L200" s="194"/>
      <c r="M200" s="194"/>
      <c r="N200" s="130" t="str">
        <f>IF([14]回答表!X46="●","●","")</f>
        <v>●</v>
      </c>
      <c r="O200" s="131"/>
      <c r="P200" s="131"/>
      <c r="Q200" s="132"/>
      <c r="R200" s="119"/>
      <c r="S200" s="119"/>
      <c r="T200" s="119"/>
      <c r="U200" s="313" t="str">
        <f>IF([14]回答表!X46="●",[14]回答表!B307,IF([14]回答表!AA46="●",[14]回答表!B324,""))</f>
        <v>　仙北市田沢湖デイサービスセンターの運営を指定管理者制度とし、社会福祉法人と管理運営に関する協定書を締結。（公募による選定）
　市から委託料を支払実施していたが、指定管理制度に移行したことで事業者が介護報酬と利用者負担収入で運営できることから、指定管理料０円で取り組んでいる。</v>
      </c>
      <c r="V200" s="314"/>
      <c r="W200" s="314"/>
      <c r="X200" s="314"/>
      <c r="Y200" s="314"/>
      <c r="Z200" s="314"/>
      <c r="AA200" s="314"/>
      <c r="AB200" s="314"/>
      <c r="AC200" s="314"/>
      <c r="AD200" s="314"/>
      <c r="AE200" s="314"/>
      <c r="AF200" s="314"/>
      <c r="AG200" s="314"/>
      <c r="AH200" s="314"/>
      <c r="AI200" s="314"/>
      <c r="AJ200" s="31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IF([14]回答表!X46="●",[14]回答表!U313,IF([14]回答表!AA46="●",[14]回答表!U330,""))</f>
        <v>平成</v>
      </c>
      <c r="BG200" s="139"/>
      <c r="BH200" s="139"/>
      <c r="BI200" s="139"/>
      <c r="BJ200" s="138"/>
      <c r="BK200" s="139"/>
      <c r="BL200" s="139"/>
      <c r="BM200" s="139"/>
      <c r="BN200" s="138"/>
      <c r="BO200" s="139"/>
      <c r="BP200" s="139"/>
      <c r="BQ200" s="140"/>
      <c r="BR200" s="112"/>
      <c r="BS200" s="92"/>
    </row>
    <row r="201" spans="1:71" ht="22.5" customHeight="1" x14ac:dyDescent="0.4">
      <c r="C201" s="101"/>
      <c r="D201" s="194"/>
      <c r="E201" s="194"/>
      <c r="F201" s="194"/>
      <c r="G201" s="194"/>
      <c r="H201" s="194"/>
      <c r="I201" s="194"/>
      <c r="J201" s="194"/>
      <c r="K201" s="194"/>
      <c r="L201" s="194"/>
      <c r="M201" s="194"/>
      <c r="N201" s="144"/>
      <c r="O201" s="145"/>
      <c r="P201" s="145"/>
      <c r="Q201" s="146"/>
      <c r="R201" s="119"/>
      <c r="S201" s="119"/>
      <c r="T201" s="119"/>
      <c r="U201" s="316"/>
      <c r="V201" s="317"/>
      <c r="W201" s="317"/>
      <c r="X201" s="317"/>
      <c r="Y201" s="317"/>
      <c r="Z201" s="317"/>
      <c r="AA201" s="317"/>
      <c r="AB201" s="317"/>
      <c r="AC201" s="317"/>
      <c r="AD201" s="317"/>
      <c r="AE201" s="317"/>
      <c r="AF201" s="317"/>
      <c r="AG201" s="317"/>
      <c r="AH201" s="317"/>
      <c r="AI201" s="317"/>
      <c r="AJ201" s="318"/>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22.5" customHeight="1" x14ac:dyDescent="0.4">
      <c r="C202" s="101"/>
      <c r="D202" s="194"/>
      <c r="E202" s="194"/>
      <c r="F202" s="194"/>
      <c r="G202" s="194"/>
      <c r="H202" s="194"/>
      <c r="I202" s="194"/>
      <c r="J202" s="194"/>
      <c r="K202" s="194"/>
      <c r="L202" s="194"/>
      <c r="M202" s="194"/>
      <c r="N202" s="144"/>
      <c r="O202" s="145"/>
      <c r="P202" s="145"/>
      <c r="Q202" s="146"/>
      <c r="R202" s="119"/>
      <c r="S202" s="119"/>
      <c r="T202" s="119"/>
      <c r="U202" s="316"/>
      <c r="V202" s="317"/>
      <c r="W202" s="317"/>
      <c r="X202" s="317"/>
      <c r="Y202" s="317"/>
      <c r="Z202" s="317"/>
      <c r="AA202" s="317"/>
      <c r="AB202" s="317"/>
      <c r="AC202" s="317"/>
      <c r="AD202" s="317"/>
      <c r="AE202" s="317"/>
      <c r="AF202" s="317"/>
      <c r="AG202" s="317"/>
      <c r="AH202" s="317"/>
      <c r="AI202" s="317"/>
      <c r="AJ202" s="318"/>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22.5" customHeight="1" x14ac:dyDescent="0.4">
      <c r="C203" s="101"/>
      <c r="D203" s="194"/>
      <c r="E203" s="194"/>
      <c r="F203" s="194"/>
      <c r="G203" s="194"/>
      <c r="H203" s="194"/>
      <c r="I203" s="194"/>
      <c r="J203" s="194"/>
      <c r="K203" s="194"/>
      <c r="L203" s="194"/>
      <c r="M203" s="194"/>
      <c r="N203" s="154"/>
      <c r="O203" s="155"/>
      <c r="P203" s="155"/>
      <c r="Q203" s="156"/>
      <c r="R203" s="119"/>
      <c r="S203" s="119"/>
      <c r="T203" s="119"/>
      <c r="U203" s="316"/>
      <c r="V203" s="317"/>
      <c r="W203" s="317"/>
      <c r="X203" s="317"/>
      <c r="Y203" s="317"/>
      <c r="Z203" s="317"/>
      <c r="AA203" s="317"/>
      <c r="AB203" s="317"/>
      <c r="AC203" s="317"/>
      <c r="AD203" s="317"/>
      <c r="AE203" s="317"/>
      <c r="AF203" s="317"/>
      <c r="AG203" s="317"/>
      <c r="AH203" s="317"/>
      <c r="AI203" s="317"/>
      <c r="AJ203" s="318"/>
      <c r="AK203" s="136"/>
      <c r="AL203" s="136"/>
      <c r="AM203" s="82" t="str">
        <f>IF([14]回答表!X46="●",[14]回答表!G313,IF([14]回答表!AA46="●",[14]回答表!G330,""))</f>
        <v xml:space="preserve"> </v>
      </c>
      <c r="AN203" s="83"/>
      <c r="AO203" s="83"/>
      <c r="AP203" s="83"/>
      <c r="AQ203" s="83"/>
      <c r="AR203" s="83"/>
      <c r="AS203" s="83"/>
      <c r="AT203" s="153"/>
      <c r="AU203" s="82" t="str">
        <f>IF([14]回答表!X46="●",[14]回答表!G314,IF([14]回答表!AA46="●",[14]回答表!G331,""))</f>
        <v>●</v>
      </c>
      <c r="AV203" s="83"/>
      <c r="AW203" s="83"/>
      <c r="AX203" s="83"/>
      <c r="AY203" s="83"/>
      <c r="AZ203" s="83"/>
      <c r="BA203" s="83"/>
      <c r="BB203" s="153"/>
      <c r="BC203" s="120"/>
      <c r="BD203" s="109"/>
      <c r="BE203" s="109"/>
      <c r="BF203" s="150">
        <f>IF([14]回答表!X46="●",[14]回答表!X313,IF([14]回答表!AA46="●",[14]回答表!X330,""))</f>
        <v>22</v>
      </c>
      <c r="BG203" s="151"/>
      <c r="BH203" s="151"/>
      <c r="BI203" s="151"/>
      <c r="BJ203" s="150">
        <f>IF([14]回答表!X46="●",[14]回答表!X314,IF([14]回答表!AA46="●",[14]回答表!X331,""))</f>
        <v>7</v>
      </c>
      <c r="BK203" s="151"/>
      <c r="BL203" s="151"/>
      <c r="BM203" s="152"/>
      <c r="BN203" s="150">
        <f>IF([14]回答表!X46="●",[14]回答表!X315,IF([14]回答表!AA46="●",[14]回答表!X332,""))</f>
        <v>1</v>
      </c>
      <c r="BO203" s="151"/>
      <c r="BP203" s="151"/>
      <c r="BQ203" s="152"/>
      <c r="BR203" s="112"/>
      <c r="BS203" s="92"/>
    </row>
    <row r="204" spans="1:71" ht="22.5" customHeight="1" x14ac:dyDescent="0.4">
      <c r="C204" s="101"/>
      <c r="D204" s="157"/>
      <c r="E204" s="157"/>
      <c r="F204" s="157"/>
      <c r="G204" s="157"/>
      <c r="H204" s="157"/>
      <c r="I204" s="157"/>
      <c r="J204" s="157"/>
      <c r="K204" s="157"/>
      <c r="L204" s="157"/>
      <c r="M204" s="157"/>
      <c r="N204" s="159"/>
      <c r="O204" s="159"/>
      <c r="P204" s="159"/>
      <c r="Q204" s="159"/>
      <c r="R204" s="159"/>
      <c r="S204" s="159"/>
      <c r="T204" s="159"/>
      <c r="U204" s="316"/>
      <c r="V204" s="317"/>
      <c r="W204" s="317"/>
      <c r="X204" s="317"/>
      <c r="Y204" s="317"/>
      <c r="Z204" s="317"/>
      <c r="AA204" s="317"/>
      <c r="AB204" s="317"/>
      <c r="AC204" s="317"/>
      <c r="AD204" s="317"/>
      <c r="AE204" s="317"/>
      <c r="AF204" s="317"/>
      <c r="AG204" s="317"/>
      <c r="AH204" s="317"/>
      <c r="AI204" s="317"/>
      <c r="AJ204" s="318"/>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22.5" customHeight="1" x14ac:dyDescent="0.4">
      <c r="C205" s="101"/>
      <c r="D205" s="157"/>
      <c r="E205" s="157"/>
      <c r="F205" s="157"/>
      <c r="G205" s="157"/>
      <c r="H205" s="157"/>
      <c r="I205" s="157"/>
      <c r="J205" s="157"/>
      <c r="K205" s="157"/>
      <c r="L205" s="157"/>
      <c r="M205" s="157"/>
      <c r="N205" s="159"/>
      <c r="O205" s="159"/>
      <c r="P205" s="159"/>
      <c r="Q205" s="159"/>
      <c r="R205" s="159"/>
      <c r="S205" s="159"/>
      <c r="T205" s="159"/>
      <c r="U205" s="316"/>
      <c r="V205" s="317"/>
      <c r="W205" s="317"/>
      <c r="X205" s="317"/>
      <c r="Y205" s="317"/>
      <c r="Z205" s="317"/>
      <c r="AA205" s="317"/>
      <c r="AB205" s="317"/>
      <c r="AC205" s="317"/>
      <c r="AD205" s="317"/>
      <c r="AE205" s="317"/>
      <c r="AF205" s="317"/>
      <c r="AG205" s="317"/>
      <c r="AH205" s="317"/>
      <c r="AI205" s="317"/>
      <c r="AJ205" s="318"/>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22.5" customHeight="1" x14ac:dyDescent="0.4">
      <c r="C206" s="101"/>
      <c r="D206" s="212" t="s">
        <v>26</v>
      </c>
      <c r="E206" s="194"/>
      <c r="F206" s="194"/>
      <c r="G206" s="194"/>
      <c r="H206" s="194"/>
      <c r="I206" s="194"/>
      <c r="J206" s="194"/>
      <c r="K206" s="194"/>
      <c r="L206" s="194"/>
      <c r="M206" s="213"/>
      <c r="N206" s="130" t="str">
        <f>IF([14]回答表!AA46="●","●","")</f>
        <v/>
      </c>
      <c r="O206" s="131"/>
      <c r="P206" s="131"/>
      <c r="Q206" s="132"/>
      <c r="R206" s="119"/>
      <c r="S206" s="119"/>
      <c r="T206" s="119"/>
      <c r="U206" s="316"/>
      <c r="V206" s="317"/>
      <c r="W206" s="317"/>
      <c r="X206" s="317"/>
      <c r="Y206" s="317"/>
      <c r="Z206" s="317"/>
      <c r="AA206" s="317"/>
      <c r="AB206" s="317"/>
      <c r="AC206" s="317"/>
      <c r="AD206" s="317"/>
      <c r="AE206" s="317"/>
      <c r="AF206" s="317"/>
      <c r="AG206" s="317"/>
      <c r="AH206" s="317"/>
      <c r="AI206" s="317"/>
      <c r="AJ206" s="318"/>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22.5" customHeight="1" x14ac:dyDescent="0.4">
      <c r="C207" s="101"/>
      <c r="D207" s="194"/>
      <c r="E207" s="194"/>
      <c r="F207" s="194"/>
      <c r="G207" s="194"/>
      <c r="H207" s="194"/>
      <c r="I207" s="194"/>
      <c r="J207" s="194"/>
      <c r="K207" s="194"/>
      <c r="L207" s="194"/>
      <c r="M207" s="213"/>
      <c r="N207" s="144"/>
      <c r="O207" s="145"/>
      <c r="P207" s="145"/>
      <c r="Q207" s="146"/>
      <c r="R207" s="119"/>
      <c r="S207" s="119"/>
      <c r="T207" s="119"/>
      <c r="U207" s="316"/>
      <c r="V207" s="317"/>
      <c r="W207" s="317"/>
      <c r="X207" s="317"/>
      <c r="Y207" s="317"/>
      <c r="Z207" s="317"/>
      <c r="AA207" s="317"/>
      <c r="AB207" s="317"/>
      <c r="AC207" s="317"/>
      <c r="AD207" s="317"/>
      <c r="AE207" s="317"/>
      <c r="AF207" s="317"/>
      <c r="AG207" s="317"/>
      <c r="AH207" s="317"/>
      <c r="AI207" s="317"/>
      <c r="AJ207" s="318"/>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22.5" customHeight="1" x14ac:dyDescent="0.4">
      <c r="C208" s="101"/>
      <c r="D208" s="194"/>
      <c r="E208" s="194"/>
      <c r="F208" s="194"/>
      <c r="G208" s="194"/>
      <c r="H208" s="194"/>
      <c r="I208" s="194"/>
      <c r="J208" s="194"/>
      <c r="K208" s="194"/>
      <c r="L208" s="194"/>
      <c r="M208" s="213"/>
      <c r="N208" s="144"/>
      <c r="O208" s="145"/>
      <c r="P208" s="145"/>
      <c r="Q208" s="146"/>
      <c r="R208" s="119"/>
      <c r="S208" s="119"/>
      <c r="T208" s="119"/>
      <c r="U208" s="316"/>
      <c r="V208" s="317"/>
      <c r="W208" s="317"/>
      <c r="X208" s="317"/>
      <c r="Y208" s="317"/>
      <c r="Z208" s="317"/>
      <c r="AA208" s="317"/>
      <c r="AB208" s="317"/>
      <c r="AC208" s="317"/>
      <c r="AD208" s="317"/>
      <c r="AE208" s="317"/>
      <c r="AF208" s="317"/>
      <c r="AG208" s="317"/>
      <c r="AH208" s="317"/>
      <c r="AI208" s="317"/>
      <c r="AJ208" s="318"/>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22.5" customHeight="1" x14ac:dyDescent="0.4">
      <c r="C209" s="101"/>
      <c r="D209" s="194"/>
      <c r="E209" s="194"/>
      <c r="F209" s="194"/>
      <c r="G209" s="194"/>
      <c r="H209" s="194"/>
      <c r="I209" s="194"/>
      <c r="J209" s="194"/>
      <c r="K209" s="194"/>
      <c r="L209" s="194"/>
      <c r="M209" s="213"/>
      <c r="N209" s="154"/>
      <c r="O209" s="155"/>
      <c r="P209" s="155"/>
      <c r="Q209" s="156"/>
      <c r="R209" s="119"/>
      <c r="S209" s="119"/>
      <c r="T209" s="119"/>
      <c r="U209" s="319"/>
      <c r="V209" s="320"/>
      <c r="W209" s="320"/>
      <c r="X209" s="320"/>
      <c r="Y209" s="320"/>
      <c r="Z209" s="320"/>
      <c r="AA209" s="320"/>
      <c r="AB209" s="320"/>
      <c r="AC209" s="320"/>
      <c r="AD209" s="320"/>
      <c r="AE209" s="320"/>
      <c r="AF209" s="320"/>
      <c r="AG209" s="320"/>
      <c r="AH209" s="320"/>
      <c r="AI209" s="320"/>
      <c r="AJ209" s="32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IF([14]回答表!AD46="●","●","")</f>
        <v/>
      </c>
      <c r="O212" s="131"/>
      <c r="P212" s="131"/>
      <c r="Q212" s="132"/>
      <c r="R212" s="119"/>
      <c r="S212" s="119"/>
      <c r="T212" s="119"/>
      <c r="U212" s="133" t="str">
        <f>IF([14]回答表!AD46="●",[14]回答表!B337,"")</f>
        <v/>
      </c>
      <c r="V212" s="134"/>
      <c r="W212" s="134"/>
      <c r="X212" s="134"/>
      <c r="Y212" s="134"/>
      <c r="Z212" s="134"/>
      <c r="AA212" s="134"/>
      <c r="AB212" s="134"/>
      <c r="AC212" s="134"/>
      <c r="AD212" s="134"/>
      <c r="AE212" s="134"/>
      <c r="AF212" s="134"/>
      <c r="AG212" s="134"/>
      <c r="AH212" s="134"/>
      <c r="AI212" s="134"/>
      <c r="AJ212" s="135"/>
      <c r="AK212" s="259"/>
      <c r="AL212" s="259"/>
      <c r="AM212" s="133" t="str">
        <f>IF([14]回答表!AD46="●",[14]回答表!B343,"")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IF([14]回答表!X47="●","●","")</f>
        <v/>
      </c>
      <c r="O224" s="131"/>
      <c r="P224" s="131"/>
      <c r="Q224" s="132"/>
      <c r="R224" s="119"/>
      <c r="S224" s="119"/>
      <c r="T224" s="119"/>
      <c r="U224" s="133" t="str">
        <f>IF([14]回答表!X47="●",[14]回答表!B356,IF([14]回答表!AA47="●",[14]回答表!B379,""))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IF([14]回答表!X47="●",[14]回答表!B362,"")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IF([14]回答表!X47="●",[14]回答表!B368,IF([14]回答表!AA47="●",[14]回答表!B385,""))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IF([14]回答表!X47="●",[14]回答表!E368,IF([14]回答表!AA47="●",[14]回答表!E385,""))</f>
        <v/>
      </c>
      <c r="BG227" s="151"/>
      <c r="BH227" s="151"/>
      <c r="BI227" s="151"/>
      <c r="BJ227" s="150" t="str">
        <f>IF([14]回答表!X47="●",[14]回答表!E369,IF([14]回答表!AA47="●",[14]回答表!E386,""))</f>
        <v/>
      </c>
      <c r="BK227" s="151"/>
      <c r="BL227" s="151"/>
      <c r="BM227" s="152"/>
      <c r="BN227" s="150" t="str">
        <f>IF([14]回答表!X47="●",[14]回答表!E370,IF([14]回答表!AA47="●",[14]回答表!E387,""))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IF([14]回答表!AD47="●","●","")</f>
        <v/>
      </c>
      <c r="O236" s="131"/>
      <c r="P236" s="131"/>
      <c r="Q236" s="132"/>
      <c r="R236" s="119"/>
      <c r="S236" s="119"/>
      <c r="T236" s="119"/>
      <c r="U236" s="133" t="str">
        <f>IF([14]回答表!AD47="●",[14]回答表!B392,"")</f>
        <v/>
      </c>
      <c r="V236" s="134"/>
      <c r="W236" s="134"/>
      <c r="X236" s="134"/>
      <c r="Y236" s="134"/>
      <c r="Z236" s="134"/>
      <c r="AA236" s="134"/>
      <c r="AB236" s="134"/>
      <c r="AC236" s="134"/>
      <c r="AD236" s="134"/>
      <c r="AE236" s="134"/>
      <c r="AF236" s="134"/>
      <c r="AG236" s="134"/>
      <c r="AH236" s="134"/>
      <c r="AI236" s="134"/>
      <c r="AJ236" s="135"/>
      <c r="AK236" s="259"/>
      <c r="AL236" s="259"/>
      <c r="AM236" s="133" t="str">
        <f>IF([14]回答表!AD47="●",[14]回答表!B398,"")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IF([14]回答表!X48="●","●","")</f>
        <v/>
      </c>
      <c r="O248" s="131"/>
      <c r="P248" s="131"/>
      <c r="Q248" s="132"/>
      <c r="R248" s="119"/>
      <c r="S248" s="119"/>
      <c r="T248" s="119"/>
      <c r="U248" s="133" t="str">
        <f>IF([14]回答表!X48="●",[14]回答表!B411,IF([14]回答表!AA48="●",[14]回答表!B425,""))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IF([14]回答表!X48="●",[14]回答表!BC418,IF([14]回答表!AA48="●",[14]回答表!BC432,""))</f>
        <v/>
      </c>
      <c r="AR248" s="272"/>
      <c r="AS248" s="272"/>
      <c r="AT248" s="272"/>
      <c r="AU248" s="273" t="s">
        <v>73</v>
      </c>
      <c r="AV248" s="274"/>
      <c r="AW248" s="274"/>
      <c r="AX248" s="275"/>
      <c r="AY248" s="272" t="str">
        <f>IF([14]回答表!X48="●",[14]回答表!BC423,IF([14]回答表!AA48="●",[14]回答表!BC437,""))</f>
        <v/>
      </c>
      <c r="AZ248" s="272"/>
      <c r="BA248" s="272"/>
      <c r="BB248" s="272"/>
      <c r="BC248" s="120"/>
      <c r="BD248" s="109"/>
      <c r="BE248" s="109"/>
      <c r="BF248" s="138" t="str">
        <f>IF([14]回答表!X48="●",[14]回答表!S417,IF([14]回答表!AA48="●",[14]回答表!S431,""))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IF([14]回答表!X48="●",[14]回答表!BC419,IF([14]回答表!AA48="●",[14]回答表!BC433,""))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IF([14]回答表!X48="●",[14]回答表!V417,IF([14]回答表!AA48="●",[14]回答表!V431,""))</f>
        <v/>
      </c>
      <c r="BG251" s="151"/>
      <c r="BH251" s="151"/>
      <c r="BI251" s="151"/>
      <c r="BJ251" s="150" t="str">
        <f>IF([14]回答表!X48="●",[14]回答表!V418,IF([14]回答表!AA48="●",[14]回答表!V432,""))</f>
        <v/>
      </c>
      <c r="BK251" s="151"/>
      <c r="BL251" s="151"/>
      <c r="BM251" s="152"/>
      <c r="BN251" s="150" t="str">
        <f>IF([14]回答表!X48="●",[14]回答表!V419,IF([14]回答表!AA48="●",[14]回答表!V433,""))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IF([14]回答表!X48="●",[14]回答表!BC420,IF([14]回答表!AA48="●",[14]回答表!BC434,""))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IF([14]回答表!X48="●",[14]回答表!BC424,IF([14]回答表!AA48="●",[14]回答表!BC438,""))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IF([14]回答表!X48="●",[14]回答表!BC421,IF([14]回答表!AA48="●",[14]回答表!BC435,""))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IF([14]回答表!X48="●",[14]回答表!BC422,IF([14]回答表!AA48="●",[14]回答表!BC436,""))</f>
        <v/>
      </c>
      <c r="AR256" s="272"/>
      <c r="AS256" s="272"/>
      <c r="AT256" s="272"/>
      <c r="AU256" s="224" t="s">
        <v>79</v>
      </c>
      <c r="AV256" s="225"/>
      <c r="AW256" s="225"/>
      <c r="AX256" s="226"/>
      <c r="AY256" s="282" t="str">
        <f>IF([14]回答表!X48="●",[14]回答表!BC425,IF([14]回答表!AA48="●",[14]回答表!BC439,""))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IF([14]回答表!AD48="●","●","")</f>
        <v/>
      </c>
      <c r="O260" s="131"/>
      <c r="P260" s="131"/>
      <c r="Q260" s="132"/>
      <c r="R260" s="119"/>
      <c r="S260" s="119"/>
      <c r="T260" s="119"/>
      <c r="U260" s="133" t="str">
        <f>IF([14]回答表!AD48="●",[14]回答表!B439,"")</f>
        <v/>
      </c>
      <c r="V260" s="134"/>
      <c r="W260" s="134"/>
      <c r="X260" s="134"/>
      <c r="Y260" s="134"/>
      <c r="Z260" s="134"/>
      <c r="AA260" s="134"/>
      <c r="AB260" s="134"/>
      <c r="AC260" s="134"/>
      <c r="AD260" s="134"/>
      <c r="AE260" s="134"/>
      <c r="AF260" s="134"/>
      <c r="AG260" s="134"/>
      <c r="AH260" s="134"/>
      <c r="AI260" s="134"/>
      <c r="AJ260" s="135"/>
      <c r="AK260" s="183"/>
      <c r="AL260" s="183"/>
      <c r="AM260" s="133" t="str">
        <f>IF([14]回答表!AD48="●",[14]回答表!B445,"")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IF([14]回答表!X49="●","●","")</f>
        <v/>
      </c>
      <c r="O271" s="131"/>
      <c r="P271" s="131"/>
      <c r="Q271" s="132"/>
      <c r="R271" s="119"/>
      <c r="S271" s="119"/>
      <c r="T271" s="119"/>
      <c r="U271" s="133" t="str">
        <f>IF([14]回答表!X49="●",[14]回答表!B458,IF([14]回答表!AA49="●",[14]回答表!B475,""))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IF([14]回答表!X49="●",[14]回答表!B468,IF([14]回答表!AA49="●",[14]回答表!B485,""))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IF([14]回答表!X49="●",[14]回答表!G464,IF([14]回答表!AA49="●",[14]回答表!G481,""))</f>
        <v/>
      </c>
      <c r="AN273" s="83"/>
      <c r="AO273" s="83"/>
      <c r="AP273" s="83"/>
      <c r="AQ273" s="83"/>
      <c r="AR273" s="83"/>
      <c r="AS273" s="83"/>
      <c r="AT273" s="153"/>
      <c r="AU273" s="82" t="str">
        <f>IF([14]回答表!X49="●",[14]回答表!G465,IF([14]回答表!AA49="●",[14]回答表!G482,""))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IF([14]回答表!X49="●",[14]回答表!E468,IF([14]回答表!AA49="●",[14]回答表!E485,""))</f>
        <v/>
      </c>
      <c r="BG274" s="151"/>
      <c r="BH274" s="151"/>
      <c r="BI274" s="151"/>
      <c r="BJ274" s="150" t="str">
        <f>IF([14]回答表!X49="●",[14]回答表!E469,IF([14]回答表!AA49="●",[14]回答表!E486,""))</f>
        <v/>
      </c>
      <c r="BK274" s="151"/>
      <c r="BL274" s="151"/>
      <c r="BM274" s="152"/>
      <c r="BN274" s="150" t="str">
        <f>IF([14]回答表!X49="●",[14]回答表!E470,IF([14]回答表!AA49="●",[14]回答表!E487,""))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IF([14]回答表!AD49="●","●","")</f>
        <v/>
      </c>
      <c r="O283" s="131"/>
      <c r="P283" s="131"/>
      <c r="Q283" s="132"/>
      <c r="R283" s="119"/>
      <c r="S283" s="119"/>
      <c r="T283" s="119"/>
      <c r="U283" s="133" t="str">
        <f>IF([14]回答表!AD49="●",[14]回答表!B492,"")</f>
        <v/>
      </c>
      <c r="V283" s="134"/>
      <c r="W283" s="134"/>
      <c r="X283" s="134"/>
      <c r="Y283" s="134"/>
      <c r="Z283" s="134"/>
      <c r="AA283" s="134"/>
      <c r="AB283" s="134"/>
      <c r="AC283" s="134"/>
      <c r="AD283" s="134"/>
      <c r="AE283" s="134"/>
      <c r="AF283" s="134"/>
      <c r="AG283" s="134"/>
      <c r="AH283" s="134"/>
      <c r="AI283" s="134"/>
      <c r="AJ283" s="135"/>
      <c r="AK283" s="136"/>
      <c r="AL283" s="136"/>
      <c r="AM283" s="133" t="str">
        <f>IF([14]回答表!AD49="●",[14]回答表!B498,"")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IF([14]回答表!R50="●",[14]回答表!B511,"")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00356-B17C-4144-B94F-51D0CAC5C876}">
  <sheetPr>
    <pageSetUpPr fitToPage="1"/>
  </sheetPr>
  <dimension ref="A1:CN315"/>
  <sheetViews>
    <sheetView showZeros="0" view="pageBreakPreview" zoomScale="60" zoomScaleNormal="55" workbookViewId="0">
      <selection activeCell="C8" sqref="C8:T1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仙北市</v>
      </c>
      <c r="D11" s="8"/>
      <c r="E11" s="8"/>
      <c r="F11" s="8"/>
      <c r="G11" s="8"/>
      <c r="H11" s="8"/>
      <c r="I11" s="8"/>
      <c r="J11" s="8"/>
      <c r="K11" s="8"/>
      <c r="L11" s="8"/>
      <c r="M11" s="8"/>
      <c r="N11" s="8"/>
      <c r="O11" s="8"/>
      <c r="P11" s="8"/>
      <c r="Q11" s="8"/>
      <c r="R11" s="8"/>
      <c r="S11" s="8"/>
      <c r="T11" s="8"/>
      <c r="U11" s="22" t="str">
        <f>IF(COUNTIF([2]回答表!F17,"*")&gt;0,[2]回答表!F17,"")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v>
      </c>
      <c r="O36" s="131"/>
      <c r="P36" s="131"/>
      <c r="Q36" s="132"/>
      <c r="R36" s="119"/>
      <c r="S36" s="119"/>
      <c r="T36" s="119"/>
      <c r="U36" s="313" t="str">
        <f>IF([2]回答表!X43="●",[2]回答表!B59,IF([2]回答表!AA43="●",[2]回答表!B79,""))</f>
        <v xml:space="preserve">本市水道事業へと統合した。その効果として、建設改良費・維持管理費・人件費・施設数・職員数・料金等については、従前のままであまり変化はなく特段記載する事項はなかったが、法適用により公営企業会計となることで以前よりも見える化が図られた。																																	
																																	</v>
      </c>
      <c r="V36" s="314"/>
      <c r="W36" s="314"/>
      <c r="X36" s="314"/>
      <c r="Y36" s="314"/>
      <c r="Z36" s="314"/>
      <c r="AA36" s="314"/>
      <c r="AB36" s="314"/>
      <c r="AC36" s="314"/>
      <c r="AD36" s="314"/>
      <c r="AE36" s="314"/>
      <c r="AF36" s="314"/>
      <c r="AG36" s="314"/>
      <c r="AH36" s="314"/>
      <c r="AI36" s="314"/>
      <c r="AJ36" s="31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平成</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316"/>
      <c r="V37" s="317"/>
      <c r="W37" s="317"/>
      <c r="X37" s="317"/>
      <c r="Y37" s="317"/>
      <c r="Z37" s="317"/>
      <c r="AA37" s="317"/>
      <c r="AB37" s="317"/>
      <c r="AC37" s="317"/>
      <c r="AD37" s="317"/>
      <c r="AE37" s="317"/>
      <c r="AF37" s="317"/>
      <c r="AG37" s="317"/>
      <c r="AH37" s="317"/>
      <c r="AI37" s="317"/>
      <c r="AJ37" s="318"/>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316"/>
      <c r="V38" s="317"/>
      <c r="W38" s="317"/>
      <c r="X38" s="317"/>
      <c r="Y38" s="317"/>
      <c r="Z38" s="317"/>
      <c r="AA38" s="317"/>
      <c r="AB38" s="317"/>
      <c r="AC38" s="317"/>
      <c r="AD38" s="317"/>
      <c r="AE38" s="317"/>
      <c r="AF38" s="317"/>
      <c r="AG38" s="317"/>
      <c r="AH38" s="317"/>
      <c r="AI38" s="317"/>
      <c r="AJ38" s="318"/>
      <c r="AK38" s="136"/>
      <c r="AL38" s="136"/>
      <c r="AM38" s="82" t="str">
        <f>IF([2]回答表!X43="●",[2]回答表!G65,IF([2]回答表!AA43="●",[2]回答表!G85,""))</f>
        <v>●</v>
      </c>
      <c r="AN38" s="83"/>
      <c r="AO38" s="83"/>
      <c r="AP38" s="83"/>
      <c r="AQ38" s="83"/>
      <c r="AR38" s="83"/>
      <c r="AS38" s="83"/>
      <c r="AT38" s="153"/>
      <c r="AU38" s="82" t="str">
        <f>IF([2]回答表!X43="●",[2]回答表!G66,IF([2]回答表!AA43="●",[2]回答表!G86,""))</f>
        <v xml:space="preserve">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316"/>
      <c r="V39" s="317"/>
      <c r="W39" s="317"/>
      <c r="X39" s="317"/>
      <c r="Y39" s="317"/>
      <c r="Z39" s="317"/>
      <c r="AA39" s="317"/>
      <c r="AB39" s="317"/>
      <c r="AC39" s="317"/>
      <c r="AD39" s="317"/>
      <c r="AE39" s="317"/>
      <c r="AF39" s="317"/>
      <c r="AG39" s="317"/>
      <c r="AH39" s="317"/>
      <c r="AI39" s="317"/>
      <c r="AJ39" s="318"/>
      <c r="AK39" s="136"/>
      <c r="AL39" s="136"/>
      <c r="AM39" s="79"/>
      <c r="AN39" s="80"/>
      <c r="AO39" s="80"/>
      <c r="AP39" s="80"/>
      <c r="AQ39" s="80"/>
      <c r="AR39" s="80"/>
      <c r="AS39" s="80"/>
      <c r="AT39" s="81"/>
      <c r="AU39" s="79"/>
      <c r="AV39" s="80"/>
      <c r="AW39" s="80"/>
      <c r="AX39" s="80"/>
      <c r="AY39" s="80"/>
      <c r="AZ39" s="80"/>
      <c r="BA39" s="80"/>
      <c r="BB39" s="81"/>
      <c r="BC39" s="120"/>
      <c r="BD39" s="109"/>
      <c r="BE39" s="109"/>
      <c r="BF39" s="150">
        <f>IF([2]回答表!X43="●",[2]回答表!V65,IF([2]回答表!AA43="●",[2]回答表!V85,""))</f>
        <v>29</v>
      </c>
      <c r="BG39" s="16"/>
      <c r="BH39" s="16"/>
      <c r="BI39" s="17"/>
      <c r="BJ39" s="150">
        <f>IF([2]回答表!X43="●",[2]回答表!V66,IF([2]回答表!AA43="●",[2]回答表!V86,""))</f>
        <v>3</v>
      </c>
      <c r="BK39" s="16"/>
      <c r="BL39" s="16"/>
      <c r="BM39" s="17"/>
      <c r="BN39" s="150">
        <f>IF([2]回答表!X43="●",[2]回答表!V67,IF([2]回答表!AA43="●",[2]回答表!V87,""))</f>
        <v>31</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316"/>
      <c r="V40" s="317"/>
      <c r="W40" s="317"/>
      <c r="X40" s="317"/>
      <c r="Y40" s="317"/>
      <c r="Z40" s="317"/>
      <c r="AA40" s="317"/>
      <c r="AB40" s="317"/>
      <c r="AC40" s="317"/>
      <c r="AD40" s="317"/>
      <c r="AE40" s="317"/>
      <c r="AF40" s="317"/>
      <c r="AG40" s="317"/>
      <c r="AH40" s="317"/>
      <c r="AI40" s="317"/>
      <c r="AJ40" s="318"/>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316"/>
      <c r="V41" s="317"/>
      <c r="W41" s="317"/>
      <c r="X41" s="317"/>
      <c r="Y41" s="317"/>
      <c r="Z41" s="317"/>
      <c r="AA41" s="317"/>
      <c r="AB41" s="317"/>
      <c r="AC41" s="317"/>
      <c r="AD41" s="317"/>
      <c r="AE41" s="317"/>
      <c r="AF41" s="317"/>
      <c r="AG41" s="317"/>
      <c r="AH41" s="317"/>
      <c r="AI41" s="317"/>
      <c r="AJ41" s="318"/>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316"/>
      <c r="V42" s="317"/>
      <c r="W42" s="317"/>
      <c r="X42" s="317"/>
      <c r="Y42" s="317"/>
      <c r="Z42" s="317"/>
      <c r="AA42" s="317"/>
      <c r="AB42" s="317"/>
      <c r="AC42" s="317"/>
      <c r="AD42" s="317"/>
      <c r="AE42" s="317"/>
      <c r="AF42" s="317"/>
      <c r="AG42" s="317"/>
      <c r="AH42" s="317"/>
      <c r="AI42" s="317"/>
      <c r="AJ42" s="318"/>
      <c r="AK42" s="136"/>
      <c r="AL42" s="136"/>
      <c r="AM42" s="160" t="str">
        <f>IF([2]回答表!X43="●",[2]回答表!O71,IF([2]回答表!AA43="●",[2]回答表!O91,""))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316"/>
      <c r="V43" s="317"/>
      <c r="W43" s="317"/>
      <c r="X43" s="317"/>
      <c r="Y43" s="317"/>
      <c r="Z43" s="317"/>
      <c r="AA43" s="317"/>
      <c r="AB43" s="317"/>
      <c r="AC43" s="317"/>
      <c r="AD43" s="317"/>
      <c r="AE43" s="317"/>
      <c r="AF43" s="317"/>
      <c r="AG43" s="317"/>
      <c r="AH43" s="317"/>
      <c r="AI43" s="317"/>
      <c r="AJ43" s="318"/>
      <c r="AK43" s="136"/>
      <c r="AL43" s="136"/>
      <c r="AM43" s="160" t="str">
        <f>IF([2]回答表!X43="●",[2]回答表!O72,IF([2]回答表!AA43="●",[2]回答表!O92,""))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316"/>
      <c r="V44" s="317"/>
      <c r="W44" s="317"/>
      <c r="X44" s="317"/>
      <c r="Y44" s="317"/>
      <c r="Z44" s="317"/>
      <c r="AA44" s="317"/>
      <c r="AB44" s="317"/>
      <c r="AC44" s="317"/>
      <c r="AD44" s="317"/>
      <c r="AE44" s="317"/>
      <c r="AF44" s="317"/>
      <c r="AG44" s="317"/>
      <c r="AH44" s="317"/>
      <c r="AI44" s="317"/>
      <c r="AJ44" s="318"/>
      <c r="AK44" s="136"/>
      <c r="AL44" s="136"/>
      <c r="AM44" s="160" t="str">
        <f>IF([2]回答表!X43="●",[2]回答表!O73,IF([2]回答表!AA43="●",[2]回答表!O93,""))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316"/>
      <c r="V45" s="317"/>
      <c r="W45" s="317"/>
      <c r="X45" s="317"/>
      <c r="Y45" s="317"/>
      <c r="Z45" s="317"/>
      <c r="AA45" s="317"/>
      <c r="AB45" s="317"/>
      <c r="AC45" s="317"/>
      <c r="AD45" s="317"/>
      <c r="AE45" s="317"/>
      <c r="AF45" s="317"/>
      <c r="AG45" s="317"/>
      <c r="AH45" s="317"/>
      <c r="AI45" s="317"/>
      <c r="AJ45" s="318"/>
      <c r="AK45" s="136"/>
      <c r="AL45" s="136"/>
      <c r="AM45" s="160" t="str">
        <f>IF([2]回答表!X43="●",[2]回答表!O74,IF([2]回答表!AA43="●",[2]回答表!O94,""))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316"/>
      <c r="V46" s="317"/>
      <c r="W46" s="317"/>
      <c r="X46" s="317"/>
      <c r="Y46" s="317"/>
      <c r="Z46" s="317"/>
      <c r="AA46" s="317"/>
      <c r="AB46" s="317"/>
      <c r="AC46" s="317"/>
      <c r="AD46" s="317"/>
      <c r="AE46" s="317"/>
      <c r="AF46" s="317"/>
      <c r="AG46" s="317"/>
      <c r="AH46" s="317"/>
      <c r="AI46" s="317"/>
      <c r="AJ46" s="318"/>
      <c r="AK46" s="136"/>
      <c r="AL46" s="136"/>
      <c r="AM46" s="160" t="str">
        <f>IF([2]回答表!X43="●",[2]回答表!AG71,IF([2]回答表!AA43="●",[2]回答表!AG91,""))</f>
        <v>●</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319"/>
      <c r="V47" s="320"/>
      <c r="W47" s="320"/>
      <c r="X47" s="320"/>
      <c r="Y47" s="320"/>
      <c r="Z47" s="320"/>
      <c r="AA47" s="320"/>
      <c r="AB47" s="320"/>
      <c r="AC47" s="320"/>
      <c r="AD47" s="320"/>
      <c r="AE47" s="320"/>
      <c r="AF47" s="320"/>
      <c r="AG47" s="320"/>
      <c r="AH47" s="320"/>
      <c r="AI47" s="320"/>
      <c r="AJ47" s="321"/>
      <c r="AK47" s="136"/>
      <c r="AL47" s="136"/>
      <c r="AM47" s="160">
        <f>IF([2]回答表!X43="●",[2]回答表!AG72,IF([2]回答表!AA43="●",[2]回答表!AG92,""))</f>
        <v>0</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5" priority="2">
      <formula>$BB$25="○"</formula>
    </cfRule>
  </conditionalFormatting>
  <conditionalFormatting sqref="BD28:BD30">
    <cfRule type="expression" dxfId="2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9180B-1651-417F-8375-DE6C7F33566E}">
  <sheetPr>
    <pageSetUpPr fitToPage="1"/>
  </sheetPr>
  <dimension ref="A1:CN315"/>
  <sheetViews>
    <sheetView showZeros="0" view="pageBreakPreview" zoomScale="60" zoomScaleNormal="55" workbookViewId="0">
      <selection activeCell="AY122" sqref="AY122:BD12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仙北市</v>
      </c>
      <c r="D11" s="8"/>
      <c r="E11" s="8"/>
      <c r="F11" s="8"/>
      <c r="G11" s="8"/>
      <c r="H11" s="8"/>
      <c r="I11" s="8"/>
      <c r="J11" s="8"/>
      <c r="K11" s="8"/>
      <c r="L11" s="8"/>
      <c r="M11" s="8"/>
      <c r="N11" s="8"/>
      <c r="O11" s="8"/>
      <c r="P11" s="8"/>
      <c r="Q11" s="8"/>
      <c r="R11" s="8"/>
      <c r="S11" s="8"/>
      <c r="T11" s="8"/>
      <c r="U11" s="22" t="str">
        <f>IF(COUNTIF([3]回答表!F17,"*")&gt;0,[3]回答表!F17,"")</f>
        <v>病院事業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IF([3]回答表!F17="下水道事業",IF([3]回答表!X45="●",[3]回答表!E212,IF([3]回答表!AA45="●",[3]回答表!E278,"")),"")</f>
        <v/>
      </c>
      <c r="BG142" s="151"/>
      <c r="BH142" s="151"/>
      <c r="BI142" s="151"/>
      <c r="BJ142" s="150" t="str">
        <f>IF([3]回答表!F17="下水道事業",IF([3]回答表!X45="●",[3]回答表!E213,IF([3]回答表!AA45="●",[3]回答表!E279,"")),"")</f>
        <v/>
      </c>
      <c r="BK142" s="151"/>
      <c r="BL142" s="151"/>
      <c r="BM142" s="151"/>
      <c r="BN142" s="150" t="str">
        <f>IF([3]回答表!F17="下水道事業",IF([3]回答表!X45="●",[3]回答表!E214,IF([3]回答表!AA45="●",[3]回答表!E280,"")),"")</f>
        <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c>
      <c r="V147" s="83"/>
      <c r="W147" s="83"/>
      <c r="X147" s="83"/>
      <c r="Y147" s="83"/>
      <c r="Z147" s="83"/>
      <c r="AA147" s="83"/>
      <c r="AB147" s="153"/>
      <c r="AC147" s="82" t="str">
        <f>IF([3]回答表!F17="下水道事業",IF([3]回答表!X45="●",[3]回答表!Y196,IF([3]回答表!AA45="●",[3]回答表!Y262,"")),"")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c>
      <c r="V153" s="83"/>
      <c r="W153" s="83"/>
      <c r="X153" s="83"/>
      <c r="Y153" s="83"/>
      <c r="Z153" s="83"/>
      <c r="AA153" s="83"/>
      <c r="AB153" s="153"/>
      <c r="AC153" s="82" t="str">
        <f>IF([3]回答表!F17="下水道事業",IF([3]回答表!X45="●",[3]回答表!Y199,IF([3]回答表!AA45="●",[3]回答表!Y265,"")),"")</f>
        <v/>
      </c>
      <c r="AD153" s="83"/>
      <c r="AE153" s="83"/>
      <c r="AF153" s="83"/>
      <c r="AG153" s="83"/>
      <c r="AH153" s="83"/>
      <c r="AI153" s="83"/>
      <c r="AJ153" s="153"/>
      <c r="AK153" s="82" t="str">
        <f>IF([3]回答表!F17="下水道事業",IF([3]回答表!X45="●",[3]回答表!Y200,IF([3]回答表!AA45="●",[3]回答表!Y266,"")),"")</f>
        <v/>
      </c>
      <c r="AL153" s="83"/>
      <c r="AM153" s="83"/>
      <c r="AN153" s="83"/>
      <c r="AO153" s="83"/>
      <c r="AP153" s="83"/>
      <c r="AQ153" s="83"/>
      <c r="AR153" s="153"/>
      <c r="AS153" s="82" t="str">
        <f>IF([3]回答表!F17="下水道事業",IF([3]回答表!X45="●",[3]回答表!Y201,IF([3]回答表!AA45="●",[3]回答表!Y267,"")),"")</f>
        <v/>
      </c>
      <c r="AT153" s="83"/>
      <c r="AU153" s="83"/>
      <c r="AV153" s="83"/>
      <c r="AW153" s="83"/>
      <c r="AX153" s="83"/>
      <c r="AY153" s="83"/>
      <c r="AZ153" s="153"/>
      <c r="BA153" s="82" t="str">
        <f>IF([3]回答表!F17="下水道事業",IF([3]回答表!X45="●",[3]回答表!Y202,IF([3]回答表!AA45="●",[3]回答表!Y268,"")),"")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c>
      <c r="V159" s="83"/>
      <c r="W159" s="83"/>
      <c r="X159" s="83"/>
      <c r="Y159" s="83"/>
      <c r="Z159" s="83"/>
      <c r="AA159" s="83"/>
      <c r="AB159" s="153"/>
      <c r="AC159" s="82" t="str">
        <f>IF([3]回答表!F17="下水道事業",IF([3]回答表!X45="●",[3]回答表!Y208,IF([3]回答表!AA45="●",[3]回答表!Y274,"")),"")</f>
        <v/>
      </c>
      <c r="AD159" s="83"/>
      <c r="AE159" s="83"/>
      <c r="AF159" s="83"/>
      <c r="AG159" s="83"/>
      <c r="AH159" s="83"/>
      <c r="AI159" s="83"/>
      <c r="AJ159" s="153"/>
      <c r="AK159" s="82" t="str">
        <f>IF([3]回答表!F17="下水道事業",IF([3]回答表!X45="●",[3]回答表!Y209,IF([3]回答表!AA45="●",[3]回答表!Y275,"")),"")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xml:space="preserve">　市立田沢湖病院及び市立角館総合病院は、令和元年度に外部専門機関による経営診断を実施しました。その中で、「指定管理者制度」、「一般地方独立行政法人（非公務員型）」、「民間移譲」の３つの形態・運営方法への変更について診断を行いました。診断では、それぞれメリット・デメリットを抽出した上で、次の提言がなされています。
○ 経営形態の変更については、十分な検証と議論が必要であり、多くの時間も要することから、慎重に検討しなければならない
○ 経営形態を変更する以前に、提案された改善方策等、早急に取り組むべき事項を優先し、経営形態の変更など中長期的に取り組むべきことは、将来的な検討項目の一つとして考えてはどうか
　これらの提言を踏まえた上で、経営改善ポテンシャルはあることから、まずは早急に取り組むべき事項について、両病院に設置した経営改善委員会で検討を行っているところです。
　また、地域医療構想において、地域における将来の医療需要や病院機能を議論する中で、両病院は重要な役割を担っているほか、本医療圏は都市部のように競合する病院がなく、カバーする面積が広いことなども現行の経営体制・手法を継続する理由となっています。仙北市病院事業としては、現行の経営体制・手法を継続するものの、両病院や近隣病院との連携強化を図り、自らの規模に応じた安定的な経営を確立することにより、市民に信頼される病院として今後も医療を提供していきたいと考えています。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3" priority="2">
      <formula>$BB$25="○"</formula>
    </cfRule>
  </conditionalFormatting>
  <conditionalFormatting sqref="BD28:BD30">
    <cfRule type="expression" dxfId="2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C0A2F-A17A-4F5D-B118-3B21A41D7010}">
  <sheetPr>
    <pageSetUpPr fitToPage="1"/>
  </sheetPr>
  <dimension ref="A1:CN315"/>
  <sheetViews>
    <sheetView showZeros="0" view="pageBreakPreview" zoomScale="60" zoomScaleNormal="55" workbookViewId="0">
      <selection activeCell="AY122" sqref="AY122:BD12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IF(COUNTIF([10]回答表!K15,"*")&gt;0,[10]回答表!K15,"")</f>
        <v>仙北市</v>
      </c>
      <c r="D11" s="8"/>
      <c r="E11" s="8"/>
      <c r="F11" s="8"/>
      <c r="G11" s="8"/>
      <c r="H11" s="8"/>
      <c r="I11" s="8"/>
      <c r="J11" s="8"/>
      <c r="K11" s="8"/>
      <c r="L11" s="8"/>
      <c r="M11" s="8"/>
      <c r="N11" s="8"/>
      <c r="O11" s="8"/>
      <c r="P11" s="8"/>
      <c r="Q11" s="8"/>
      <c r="R11" s="8"/>
      <c r="S11" s="8"/>
      <c r="T11" s="8"/>
      <c r="U11" s="22" t="str">
        <f>IF(COUNTIF([10]回答表!F17,"*")&gt;0,[10]回答表!F17,"")</f>
        <v>観光施設事業</v>
      </c>
      <c r="V11" s="23"/>
      <c r="W11" s="23"/>
      <c r="X11" s="23"/>
      <c r="Y11" s="23"/>
      <c r="Z11" s="23"/>
      <c r="AA11" s="23"/>
      <c r="AB11" s="23"/>
      <c r="AC11" s="23"/>
      <c r="AD11" s="23"/>
      <c r="AE11" s="23"/>
      <c r="AF11" s="10"/>
      <c r="AG11" s="10"/>
      <c r="AH11" s="10"/>
      <c r="AI11" s="10"/>
      <c r="AJ11" s="10"/>
      <c r="AK11" s="10"/>
      <c r="AL11" s="10"/>
      <c r="AM11" s="10"/>
      <c r="AN11" s="11"/>
      <c r="AO11" s="24" t="str">
        <f>IF(COUNTIF([10]回答表!W17,"*")&gt;0,[10]回答表!W17,"")</f>
        <v>その他観光</v>
      </c>
      <c r="AP11" s="10"/>
      <c r="AQ11" s="10"/>
      <c r="AR11" s="10"/>
      <c r="AS11" s="10"/>
      <c r="AT11" s="10"/>
      <c r="AU11" s="10"/>
      <c r="AV11" s="10"/>
      <c r="AW11" s="10"/>
      <c r="AX11" s="10"/>
      <c r="AY11" s="10"/>
      <c r="AZ11" s="10"/>
      <c r="BA11" s="10"/>
      <c r="BB11" s="10"/>
      <c r="BC11" s="10"/>
      <c r="BD11" s="10"/>
      <c r="BE11" s="10"/>
      <c r="BF11" s="11"/>
      <c r="BG11" s="21" t="str">
        <f>IF(COUNTIF([10]回答表!F19,"*")&gt;0,[10]回答表!F19,"")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IF([10]回答表!R43="●","●","")</f>
        <v/>
      </c>
      <c r="E24" s="80"/>
      <c r="F24" s="80"/>
      <c r="G24" s="80"/>
      <c r="H24" s="80"/>
      <c r="I24" s="80"/>
      <c r="J24" s="81"/>
      <c r="K24" s="79" t="str">
        <f>IF([10]回答表!R44="●","●","")</f>
        <v/>
      </c>
      <c r="L24" s="80"/>
      <c r="M24" s="80"/>
      <c r="N24" s="80"/>
      <c r="O24" s="80"/>
      <c r="P24" s="80"/>
      <c r="Q24" s="81"/>
      <c r="R24" s="79" t="str">
        <f>IF([10]回答表!R45="●","●","")</f>
        <v/>
      </c>
      <c r="S24" s="80"/>
      <c r="T24" s="80"/>
      <c r="U24" s="80"/>
      <c r="V24" s="80"/>
      <c r="W24" s="80"/>
      <c r="X24" s="81"/>
      <c r="Y24" s="79" t="str">
        <f>IF([10]回答表!R46="●","●","")</f>
        <v/>
      </c>
      <c r="Z24" s="80"/>
      <c r="AA24" s="80"/>
      <c r="AB24" s="80"/>
      <c r="AC24" s="80"/>
      <c r="AD24" s="80"/>
      <c r="AE24" s="81"/>
      <c r="AF24" s="79" t="str">
        <f>IF([10]回答表!R47="●","●","")</f>
        <v/>
      </c>
      <c r="AG24" s="80"/>
      <c r="AH24" s="80"/>
      <c r="AI24" s="80"/>
      <c r="AJ24" s="80"/>
      <c r="AK24" s="80"/>
      <c r="AL24" s="81"/>
      <c r="AM24" s="79" t="str">
        <f>IF([10]回答表!R48="●","●","")</f>
        <v/>
      </c>
      <c r="AN24" s="80"/>
      <c r="AO24" s="80"/>
      <c r="AP24" s="80"/>
      <c r="AQ24" s="80"/>
      <c r="AR24" s="80"/>
      <c r="AS24" s="81"/>
      <c r="AT24" s="79" t="str">
        <f>IF([10]回答表!R49="●","●","")</f>
        <v/>
      </c>
      <c r="AU24" s="80"/>
      <c r="AV24" s="80"/>
      <c r="AW24" s="80"/>
      <c r="AX24" s="80"/>
      <c r="AY24" s="80"/>
      <c r="AZ24" s="81"/>
      <c r="BA24" s="68"/>
      <c r="BB24" s="82" t="str">
        <f>IF([10]回答表!R50="●","●","")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IF([10]回答表!X43="●","●","")</f>
        <v/>
      </c>
      <c r="O36" s="131"/>
      <c r="P36" s="131"/>
      <c r="Q36" s="132"/>
      <c r="R36" s="119"/>
      <c r="S36" s="119"/>
      <c r="T36" s="119"/>
      <c r="U36" s="133" t="str">
        <f>IF([10]回答表!X43="●",[10]回答表!B59,IF([10]回答表!AA43="●",[10]回答表!B79,""))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IF([10]回答表!X43="●",[10]回答表!S65,IF([10]回答表!AA43="●",[10]回答表!S85,""))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IF([10]回答表!X43="●",[10]回答表!G65,IF([10]回答表!AA43="●",[10]回答表!G85,""))</f>
        <v/>
      </c>
      <c r="AN38" s="83"/>
      <c r="AO38" s="83"/>
      <c r="AP38" s="83"/>
      <c r="AQ38" s="83"/>
      <c r="AR38" s="83"/>
      <c r="AS38" s="83"/>
      <c r="AT38" s="153"/>
      <c r="AU38" s="82" t="str">
        <f>IF([10]回答表!X43="●",[10]回答表!G66,IF([10]回答表!AA43="●",[10]回答表!G86,""))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IF([10]回答表!X43="●",[10]回答表!V65,IF([10]回答表!AA43="●",[10]回答表!V85,""))</f>
        <v/>
      </c>
      <c r="BG39" s="16"/>
      <c r="BH39" s="16"/>
      <c r="BI39" s="17"/>
      <c r="BJ39" s="150" t="str">
        <f>IF([10]回答表!X43="●",[10]回答表!V66,IF([10]回答表!AA43="●",[10]回答表!V86,""))</f>
        <v/>
      </c>
      <c r="BK39" s="16"/>
      <c r="BL39" s="16"/>
      <c r="BM39" s="17"/>
      <c r="BN39" s="150" t="str">
        <f>IF([10]回答表!X43="●",[10]回答表!V67,IF([10]回答表!AA43="●",[10]回答表!V87,""))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IF([10]回答表!X43="●",[10]回答表!O71,IF([10]回答表!AA43="●",[10]回答表!O91,""))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IF([10]回答表!X43="●",[10]回答表!O72,IF([10]回答表!AA43="●",[10]回答表!O92,""))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IF([10]回答表!AA43="●","●","")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IF([10]回答表!X43="●",[10]回答表!O73,IF([10]回答表!AA43="●",[10]回答表!O93,""))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IF([10]回答表!X43="●",[10]回答表!O74,IF([10]回答表!AA43="●",[10]回答表!O94,""))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IF([10]回答表!X43="●",[10]回答表!AG71,IF([10]回答表!AA43="●",[10]回答表!AG91,""))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IF([10]回答表!X43="●",[10]回答表!AG72,IF([10]回答表!AA43="●",[10]回答表!AG92,""))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IF([10]回答表!AD43="●","●","")</f>
        <v/>
      </c>
      <c r="O51" s="131"/>
      <c r="P51" s="131"/>
      <c r="Q51" s="132"/>
      <c r="R51" s="119"/>
      <c r="S51" s="119"/>
      <c r="T51" s="119"/>
      <c r="U51" s="133" t="str">
        <f>IF([10]回答表!AD43="●",[10]回答表!B99,"")</f>
        <v/>
      </c>
      <c r="V51" s="134"/>
      <c r="W51" s="134"/>
      <c r="X51" s="134"/>
      <c r="Y51" s="134"/>
      <c r="Z51" s="134"/>
      <c r="AA51" s="134"/>
      <c r="AB51" s="134"/>
      <c r="AC51" s="134"/>
      <c r="AD51" s="134"/>
      <c r="AE51" s="134"/>
      <c r="AF51" s="134"/>
      <c r="AG51" s="134"/>
      <c r="AH51" s="134"/>
      <c r="AI51" s="134"/>
      <c r="AJ51" s="135"/>
      <c r="AK51" s="183"/>
      <c r="AL51" s="183"/>
      <c r="AM51" s="133" t="str">
        <f>IF([10]回答表!AD43="●",[10]回答表!B104,"")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IF([10]回答表!X44="●","●","")</f>
        <v/>
      </c>
      <c r="O62" s="131"/>
      <c r="P62" s="131"/>
      <c r="Q62" s="132"/>
      <c r="R62" s="119"/>
      <c r="S62" s="119"/>
      <c r="T62" s="119"/>
      <c r="U62" s="133" t="str">
        <f>IF([10]回答表!X44="●",[10]回答表!B115,IF([10]回答表!AA44="●",[10]回答表!B127,""))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IF([10]回答表!X44="●",[10]回答表!S121,IF([10]回答表!AA44="●",[10]回答表!S133,""))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IF([10]回答表!X44="●",[10]回答表!J121,IF([10]回答表!AA44="●",[10]回答表!J133,""))</f>
        <v/>
      </c>
      <c r="AN65" s="83"/>
      <c r="AO65" s="83"/>
      <c r="AP65" s="83"/>
      <c r="AQ65" s="83"/>
      <c r="AR65" s="83"/>
      <c r="AS65" s="83"/>
      <c r="AT65" s="153"/>
      <c r="AU65" s="82" t="str">
        <f>IF([10]回答表!X44="●",[10]回答表!J122,IF([10]回答表!AA44="●",[10]回答表!J134,""))</f>
        <v/>
      </c>
      <c r="AV65" s="83"/>
      <c r="AW65" s="83"/>
      <c r="AX65" s="83"/>
      <c r="AY65" s="83"/>
      <c r="AZ65" s="83"/>
      <c r="BA65" s="83"/>
      <c r="BB65" s="153"/>
      <c r="BC65" s="120"/>
      <c r="BD65" s="109"/>
      <c r="BE65" s="109"/>
      <c r="BF65" s="150" t="str">
        <f>IF([10]回答表!X44="●",[10]回答表!V121,IF([10]回答表!AA44="●",[10]回答表!V133,""))</f>
        <v/>
      </c>
      <c r="BG65" s="151"/>
      <c r="BH65" s="151"/>
      <c r="BI65" s="151"/>
      <c r="BJ65" s="150" t="str">
        <f>IF([10]回答表!X44="●",[10]回答表!V122,IF([10]回答表!AA44="●",[10]回答表!V134,""))</f>
        <v/>
      </c>
      <c r="BK65" s="151"/>
      <c r="BL65" s="151"/>
      <c r="BM65" s="151"/>
      <c r="BN65" s="150" t="str">
        <f>IF([10]回答表!X44="●",[10]回答表!V123,IF([10]回答表!AA44="●",[10]回答表!V135,""))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IF([10]回答表!AA44="●","●","")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IF([10]回答表!AD44="●","●","")</f>
        <v/>
      </c>
      <c r="O74" s="131"/>
      <c r="P74" s="131"/>
      <c r="Q74" s="132"/>
      <c r="R74" s="119"/>
      <c r="S74" s="119"/>
      <c r="T74" s="119"/>
      <c r="U74" s="133" t="str">
        <f>IF([10]回答表!AD44="●",[10]回答表!B140,"")</f>
        <v/>
      </c>
      <c r="V74" s="134"/>
      <c r="W74" s="134"/>
      <c r="X74" s="134"/>
      <c r="Y74" s="134"/>
      <c r="Z74" s="134"/>
      <c r="AA74" s="134"/>
      <c r="AB74" s="134"/>
      <c r="AC74" s="134"/>
      <c r="AD74" s="134"/>
      <c r="AE74" s="134"/>
      <c r="AF74" s="134"/>
      <c r="AG74" s="134"/>
      <c r="AH74" s="134"/>
      <c r="AI74" s="134"/>
      <c r="AJ74" s="135"/>
      <c r="AK74" s="183"/>
      <c r="AL74" s="183"/>
      <c r="AM74" s="133" t="str">
        <f>IF([10]回答表!AD44="●",[10]回答表!B146,"")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IF([10]回答表!F17="水道事業",IF([10]回答表!X45="●","●",""),"")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IF([10]回答表!F17="水道事業",IF([10]回答表!X45="●",[10]回答表!B158,IF([10]回答表!AA45="●",[10]回答表!B223,"")),"")</f>
        <v/>
      </c>
      <c r="AN86" s="201"/>
      <c r="AO86" s="201"/>
      <c r="AP86" s="201"/>
      <c r="AQ86" s="201"/>
      <c r="AR86" s="201"/>
      <c r="AS86" s="201"/>
      <c r="AT86" s="201"/>
      <c r="AU86" s="201"/>
      <c r="AV86" s="201"/>
      <c r="AW86" s="201"/>
      <c r="AX86" s="201"/>
      <c r="AY86" s="201"/>
      <c r="AZ86" s="201"/>
      <c r="BA86" s="201"/>
      <c r="BB86" s="201"/>
      <c r="BC86" s="202"/>
      <c r="BD86" s="109"/>
      <c r="BE86" s="109"/>
      <c r="BF86" s="138" t="str">
        <f>IF([10]回答表!F17="水道事業",IF([10]回答表!X45="●",[10]回答表!B212,IF([10]回答表!AA45="●",[10]回答表!B278,"")),"")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IF([10]回答表!F17="水道事業",IF([10]回答表!X45="●",[10]回答表!J166,IF([10]回答表!AA45="●",[10]回答表!J231,"")),"")</f>
        <v/>
      </c>
      <c r="V88" s="83"/>
      <c r="W88" s="83"/>
      <c r="X88" s="83"/>
      <c r="Y88" s="83"/>
      <c r="Z88" s="83"/>
      <c r="AA88" s="83"/>
      <c r="AB88" s="153"/>
      <c r="AC88" s="82" t="str">
        <f>IF([10]回答表!F17="水道事業",IF([10]回答表!X45="●",[10]回答表!J173,IF([10]回答表!AA45="●",[10]回答表!J238,"")),"")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IF([10]回答表!F17="水道事業",IF([10]回答表!X45="●",[10]回答表!E212,IF([10]回答表!AA45="●",[10]回答表!E278,"")),"")</f>
        <v/>
      </c>
      <c r="BG89" s="151"/>
      <c r="BH89" s="151"/>
      <c r="BI89" s="151"/>
      <c r="BJ89" s="150" t="str">
        <f>IF([10]回答表!F17="水道事業",IF([10]回答表!X45="●",[10]回答表!E213,IF([10]回答表!AA45="●",[10]回答表!E279,"")),"")</f>
        <v/>
      </c>
      <c r="BK89" s="151"/>
      <c r="BL89" s="151"/>
      <c r="BM89" s="151"/>
      <c r="BN89" s="150" t="str">
        <f>IF([10]回答表!F17="水道事業",IF([10]回答表!X45="●",[10]回答表!E214,IF([10]回答表!AA45="●",[10]回答表!E280,"")),"")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IF([10]回答表!F17="水道事業",IF([10]回答表!AA45="●","●",""),"")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IF([10]回答表!F17="水道事業",IF([10]回答表!X45="●",[10]回答表!J176,IF([10]回答表!AA45="●",[10]回答表!J241,"")),"")</f>
        <v/>
      </c>
      <c r="V93" s="83"/>
      <c r="W93" s="83"/>
      <c r="X93" s="83"/>
      <c r="Y93" s="83"/>
      <c r="Z93" s="83"/>
      <c r="AA93" s="83"/>
      <c r="AB93" s="153"/>
      <c r="AC93" s="82" t="str">
        <f>IF([10]回答表!F17="水道事業",IF([10]回答表!X45="●",[10]回答表!J180,IF([10]回答表!AA45="●",[10]回答表!J245,"")),"")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IF([10]回答表!F17="水道事業",IF([10]回答表!AD45="●","●",""),"")</f>
        <v/>
      </c>
      <c r="O98" s="131"/>
      <c r="P98" s="131"/>
      <c r="Q98" s="132"/>
      <c r="R98" s="119"/>
      <c r="S98" s="119"/>
      <c r="T98" s="119"/>
      <c r="U98" s="133" t="str">
        <f>IF([10]回答表!F17="水道事業",IF([10]回答表!AD45="●",[10]回答表!B289,""),"")</f>
        <v/>
      </c>
      <c r="V98" s="134"/>
      <c r="W98" s="134"/>
      <c r="X98" s="134"/>
      <c r="Y98" s="134"/>
      <c r="Z98" s="134"/>
      <c r="AA98" s="134"/>
      <c r="AB98" s="134"/>
      <c r="AC98" s="134"/>
      <c r="AD98" s="134"/>
      <c r="AE98" s="134"/>
      <c r="AF98" s="134"/>
      <c r="AG98" s="134"/>
      <c r="AH98" s="134"/>
      <c r="AI98" s="134"/>
      <c r="AJ98" s="135"/>
      <c r="AK98" s="183"/>
      <c r="AL98" s="183"/>
      <c r="AM98" s="133" t="str">
        <f>IF([10]回答表!F17="水道事業",IF([10]回答表!AD45="●",[10]回答表!B295,""),"")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IF([10]回答表!F17="簡易水道事業",IF([10]回答表!X45="●",[10]回答表!B158,IF([10]回答表!AA45="●",[10]回答表!B223,"")),"")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IF([10]回答表!F17="簡易水道事業",IF([10]回答表!X45="●",[10]回答表!B212,IF([10]回答表!AA45="●",[10]回答表!B278,"")),"")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IF([10]回答表!F17="簡易水道事業",IF([10]回答表!X45="●","●",""),"")</f>
        <v/>
      </c>
      <c r="O112" s="131"/>
      <c r="P112" s="131"/>
      <c r="Q112" s="132"/>
      <c r="R112" s="119"/>
      <c r="S112" s="119"/>
      <c r="T112" s="119"/>
      <c r="U112" s="82" t="str">
        <f>IF([10]回答表!F17="簡易水道事業",IF([10]回答表!X45="●",[10]回答表!Y185,IF([10]回答表!AA45="●",[10]回答表!Y251,"")),"")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IF([10]回答表!F17="簡易水道事業",IF([10]回答表!X45="●",[10]回答表!E212,IF([10]回答表!AA45="●",[10]回答表!E278,"")),"")</f>
        <v/>
      </c>
      <c r="BG113" s="151"/>
      <c r="BH113" s="151"/>
      <c r="BI113" s="151"/>
      <c r="BJ113" s="150" t="str">
        <f>IF([10]回答表!F17="簡易水道事業",IF([10]回答表!X45="●",[10]回答表!E213,IF([10]回答表!AA45="●",[10]回答表!E279,"")),"")</f>
        <v/>
      </c>
      <c r="BK113" s="151"/>
      <c r="BL113" s="151"/>
      <c r="BM113" s="151"/>
      <c r="BN113" s="150" t="str">
        <f>IF([10]回答表!F17="簡易水道事業",IF([10]回答表!X45="●",[10]回答表!E214,IF([10]回答表!AA45="●",[10]回答表!E280,"")),"")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IF([10]回答表!F17="簡易水道事業",IF([10]回答表!X45="●",[10]回答表!Y186,IF([10]回答表!AA45="●",[10]回答表!Y252,"")),"")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IF([10]回答表!F17="簡易水道事業",IF([10]回答表!AA45="●","●",""),"")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IF([10]回答表!F17="簡易水道事業",IF([10]回答表!X45="●",[10]回答表!Y187,IF([10]回答表!AA45="●",[10]回答表!Y253,"")),"")</f>
        <v/>
      </c>
      <c r="V122" s="83"/>
      <c r="W122" s="83"/>
      <c r="X122" s="83"/>
      <c r="Y122" s="83"/>
      <c r="Z122" s="83"/>
      <c r="AA122" s="83"/>
      <c r="AB122" s="83"/>
      <c r="AC122" s="83"/>
      <c r="AD122" s="83"/>
      <c r="AE122" s="83"/>
      <c r="AF122" s="83"/>
      <c r="AG122" s="83"/>
      <c r="AH122" s="83"/>
      <c r="AI122" s="83"/>
      <c r="AJ122" s="153"/>
      <c r="AK122" s="68"/>
      <c r="AL122" s="68"/>
      <c r="AM122" s="233" t="str">
        <f>IF([10]回答表!F17="簡易水道事業",IF([10]回答表!X45="●",[10]回答表!Y189,IF([10]回答表!AA45="●",[10]回答表!Y255,"")),"")</f>
        <v/>
      </c>
      <c r="AN122" s="233"/>
      <c r="AO122" s="233"/>
      <c r="AP122" s="233"/>
      <c r="AQ122" s="233"/>
      <c r="AR122" s="233"/>
      <c r="AS122" s="233" t="str">
        <f>IF([10]回答表!F17="簡易水道事業",IF([10]回答表!X45="●",[10]回答表!Y190,IF([10]回答表!AA45="●",[10]回答表!Y256,"")),"")</f>
        <v/>
      </c>
      <c r="AT122" s="233"/>
      <c r="AU122" s="233"/>
      <c r="AV122" s="233"/>
      <c r="AW122" s="233"/>
      <c r="AX122" s="233"/>
      <c r="AY122" s="233" t="str">
        <f>IF([10]回答表!F17="簡易水道事業",IF([10]回答表!X45="●",[10]回答表!Y191,IF([10]回答表!AA45="●",[10]回答表!Y257,"")),"")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IF([10]回答表!F17="簡易水道事業",IF([10]回答表!AD45="●","●",""),"")</f>
        <v/>
      </c>
      <c r="O127" s="131"/>
      <c r="P127" s="131"/>
      <c r="Q127" s="132"/>
      <c r="R127" s="119"/>
      <c r="S127" s="119"/>
      <c r="T127" s="119"/>
      <c r="U127" s="133" t="str">
        <f>IF([10]回答表!F17="簡易水道事業",IF([10]回答表!AD45="●",[10]回答表!B289,""),"")</f>
        <v/>
      </c>
      <c r="V127" s="134"/>
      <c r="W127" s="134"/>
      <c r="X127" s="134"/>
      <c r="Y127" s="134"/>
      <c r="Z127" s="134"/>
      <c r="AA127" s="134"/>
      <c r="AB127" s="134"/>
      <c r="AC127" s="134"/>
      <c r="AD127" s="134"/>
      <c r="AE127" s="134"/>
      <c r="AF127" s="134"/>
      <c r="AG127" s="134"/>
      <c r="AH127" s="134"/>
      <c r="AI127" s="134"/>
      <c r="AJ127" s="135"/>
      <c r="AK127" s="183"/>
      <c r="AL127" s="183"/>
      <c r="AM127" s="133" t="str">
        <f>IF([10]回答表!F17="簡易水道事業",IF([10]回答表!AD45="●",[10]回答表!B295,""),"")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IF([10]回答表!F17="下水道事業",IF([10]回答表!X45="●","●",""),"")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IF([10]回答表!F17="下水道事業",IF([10]回答表!X45="●",[10]回答表!B158,IF([10]回答表!AA45="●",[10]回答表!B223,"")),"")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IF([10]回答表!F17="下水道事業",IF([10]回答表!X45="●",[10]回答表!B212,IF([10]回答表!AA45="●",[10]回答表!B278,"")),"")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IF([10]回答表!F17="下水道事業",IF([10]回答表!X45="●",[10]回答表!Y193,IF([10]回答表!AA45="●",[10]回答表!Y259,"")),"")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IF([10]回答表!F17="下水道事業",IF([10]回答表!X45="●",[10]回答表!E212,IF([10]回答表!AA45="●",[10]回答表!E278,"")),"")</f>
        <v/>
      </c>
      <c r="BG142" s="151"/>
      <c r="BH142" s="151"/>
      <c r="BI142" s="151"/>
      <c r="BJ142" s="150" t="str">
        <f>IF([10]回答表!F17="下水道事業",IF([10]回答表!X45="●",[10]回答表!E213,IF([10]回答表!AA45="●",[10]回答表!E279,"")),"")</f>
        <v/>
      </c>
      <c r="BK142" s="151"/>
      <c r="BL142" s="151"/>
      <c r="BM142" s="151"/>
      <c r="BN142" s="150" t="str">
        <f>IF([10]回答表!F17="下水道事業",IF([10]回答表!X45="●",[10]回答表!E214,IF([10]回答表!AA45="●",[10]回答表!E280,"")),"")</f>
        <v/>
      </c>
      <c r="BO142" s="151"/>
      <c r="BP142" s="151"/>
      <c r="BQ142" s="152"/>
      <c r="BR142" s="112"/>
      <c r="BX142" s="200" t="str">
        <f>IF([10]回答表!AQ20="下水道事業",IF([10]回答表!BI48="○",[10]回答表!AM161,IF([10]回答表!BL48="○",[10]回答表!AM226,"")),"")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IF([10]回答表!F17="下水道事業",IF([10]回答表!X45="●",[10]回答表!Y195,IF([10]回答表!AA45="●",[10]回答表!Y261,"")),"")</f>
        <v/>
      </c>
      <c r="V147" s="83"/>
      <c r="W147" s="83"/>
      <c r="X147" s="83"/>
      <c r="Y147" s="83"/>
      <c r="Z147" s="83"/>
      <c r="AA147" s="83"/>
      <c r="AB147" s="153"/>
      <c r="AC147" s="82" t="str">
        <f>IF([10]回答表!F17="下水道事業",IF([10]回答表!X45="●",[10]回答表!Y196,IF([10]回答表!AA45="●",[10]回答表!Y262,"")),"")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IF([10]回答表!F17="下水道事業",IF([10]回答表!X45="●",[10]回答表!Y198,IF([10]回答表!AA45="●",[10]回答表!Y264,"")),"")</f>
        <v/>
      </c>
      <c r="V153" s="83"/>
      <c r="W153" s="83"/>
      <c r="X153" s="83"/>
      <c r="Y153" s="83"/>
      <c r="Z153" s="83"/>
      <c r="AA153" s="83"/>
      <c r="AB153" s="153"/>
      <c r="AC153" s="82" t="str">
        <f>IF([10]回答表!F17="下水道事業",IF([10]回答表!X45="●",[10]回答表!Y199,IF([10]回答表!AA45="●",[10]回答表!Y265,"")),"")</f>
        <v/>
      </c>
      <c r="AD153" s="83"/>
      <c r="AE153" s="83"/>
      <c r="AF153" s="83"/>
      <c r="AG153" s="83"/>
      <c r="AH153" s="83"/>
      <c r="AI153" s="83"/>
      <c r="AJ153" s="153"/>
      <c r="AK153" s="82" t="str">
        <f>IF([10]回答表!F17="下水道事業",IF([10]回答表!X45="●",[10]回答表!Y200,IF([10]回答表!AA45="●",[10]回答表!Y266,"")),"")</f>
        <v/>
      </c>
      <c r="AL153" s="83"/>
      <c r="AM153" s="83"/>
      <c r="AN153" s="83"/>
      <c r="AO153" s="83"/>
      <c r="AP153" s="83"/>
      <c r="AQ153" s="83"/>
      <c r="AR153" s="153"/>
      <c r="AS153" s="82" t="str">
        <f>IF([10]回答表!F17="下水道事業",IF([10]回答表!X45="●",[10]回答表!Y201,IF([10]回答表!AA45="●",[10]回答表!Y267,"")),"")</f>
        <v/>
      </c>
      <c r="AT153" s="83"/>
      <c r="AU153" s="83"/>
      <c r="AV153" s="83"/>
      <c r="AW153" s="83"/>
      <c r="AX153" s="83"/>
      <c r="AY153" s="83"/>
      <c r="AZ153" s="153"/>
      <c r="BA153" s="82" t="str">
        <f>IF([10]回答表!F17="下水道事業",IF([10]回答表!X45="●",[10]回答表!Y202,IF([10]回答表!AA45="●",[10]回答表!Y268,"")),"")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IF([10]回答表!F17="下水道事業",IF([10]回答表!AA45="●","●",""),"")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IF([10]回答表!F17="下水道事業",IF([10]回答表!X45="●",[10]回答表!Y207,IF([10]回答表!AA45="●",[10]回答表!Y273,"")),"")</f>
        <v/>
      </c>
      <c r="V159" s="83"/>
      <c r="W159" s="83"/>
      <c r="X159" s="83"/>
      <c r="Y159" s="83"/>
      <c r="Z159" s="83"/>
      <c r="AA159" s="83"/>
      <c r="AB159" s="153"/>
      <c r="AC159" s="82" t="str">
        <f>IF([10]回答表!F17="下水道事業",IF([10]回答表!X45="●",[10]回答表!Y208,IF([10]回答表!AA45="●",[10]回答表!Y274,"")),"")</f>
        <v/>
      </c>
      <c r="AD159" s="83"/>
      <c r="AE159" s="83"/>
      <c r="AF159" s="83"/>
      <c r="AG159" s="83"/>
      <c r="AH159" s="83"/>
      <c r="AI159" s="83"/>
      <c r="AJ159" s="153"/>
      <c r="AK159" s="82" t="str">
        <f>IF([10]回答表!F17="下水道事業",IF([10]回答表!X45="●",[10]回答表!Y209,IF([10]回答表!AA45="●",[10]回答表!Y275,"")),"")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IF([10]回答表!F17="下水道事業",IF([10]回答表!AD45="●","●",""),"")</f>
        <v/>
      </c>
      <c r="O164" s="131"/>
      <c r="P164" s="131"/>
      <c r="Q164" s="132"/>
      <c r="R164" s="119"/>
      <c r="S164" s="119"/>
      <c r="T164" s="119"/>
      <c r="U164" s="133" t="str">
        <f>IF([10]回答表!F17="下水道事業",IF([10]回答表!AD45="●",[10]回答表!B289,""),"")</f>
        <v/>
      </c>
      <c r="V164" s="134"/>
      <c r="W164" s="134"/>
      <c r="X164" s="134"/>
      <c r="Y164" s="134"/>
      <c r="Z164" s="134"/>
      <c r="AA164" s="134"/>
      <c r="AB164" s="134"/>
      <c r="AC164" s="134"/>
      <c r="AD164" s="134"/>
      <c r="AE164" s="134"/>
      <c r="AF164" s="134"/>
      <c r="AG164" s="134"/>
      <c r="AH164" s="134"/>
      <c r="AI164" s="134"/>
      <c r="AJ164" s="135"/>
      <c r="AK164" s="183"/>
      <c r="AL164" s="183"/>
      <c r="AM164" s="133" t="str">
        <f>IF([10]回答表!F17="下水道事業",IF([10]回答表!AD45="●",[10]回答表!B295,""),"")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IF([10]回答表!BD17="●",IF([10]回答表!X45="●","●",""),"")</f>
        <v/>
      </c>
      <c r="O176" s="131"/>
      <c r="P176" s="131"/>
      <c r="Q176" s="132"/>
      <c r="R176" s="119"/>
      <c r="S176" s="119"/>
      <c r="T176" s="119"/>
      <c r="U176" s="133" t="str">
        <f>IF([10]回答表!BD17="●",IF([10]回答表!X45="●",[10]回答表!B158,IF([10]回答表!AA45="●",[10]回答表!B223,"")),"")</f>
        <v/>
      </c>
      <c r="V176" s="134"/>
      <c r="W176" s="134"/>
      <c r="X176" s="134"/>
      <c r="Y176" s="134"/>
      <c r="Z176" s="134"/>
      <c r="AA176" s="134"/>
      <c r="AB176" s="134"/>
      <c r="AC176" s="134"/>
      <c r="AD176" s="134"/>
      <c r="AE176" s="134"/>
      <c r="AF176" s="134"/>
      <c r="AG176" s="134"/>
      <c r="AH176" s="134"/>
      <c r="AI176" s="134"/>
      <c r="AJ176" s="135"/>
      <c r="AK176" s="136"/>
      <c r="AL176" s="136"/>
      <c r="AM176" s="138" t="str">
        <f>IF([10]回答表!BD17="●",IF([10]回答表!X45="●",[10]回答表!B212,IF([10]回答表!AA45="●",[10]回答表!B278,"")),"")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IF([10]回答表!BD17="●",IF([10]回答表!X45="●",[10]回答表!E212,IF([10]回答表!AA45="●",[10]回答表!E278,"")),"")</f>
        <v/>
      </c>
      <c r="AN179" s="151"/>
      <c r="AO179" s="151"/>
      <c r="AP179" s="151"/>
      <c r="AQ179" s="150" t="str">
        <f>IF([10]回答表!BD17="●",IF([10]回答表!X45="●",[10]回答表!E213,IF([10]回答表!AA45="●",[10]回答表!E279,"")),"")</f>
        <v/>
      </c>
      <c r="AR179" s="151"/>
      <c r="AS179" s="151"/>
      <c r="AT179" s="151"/>
      <c r="AU179" s="150" t="str">
        <f>IF([10]回答表!BD17="●",IF([10]回答表!X45="●",[10]回答表!E214,IF([10]回答表!AA45="●",[10]回答表!E280,"")),"")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IF([10]回答表!BD17="●",IF([10]回答表!AA45="●","●",""),"")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IF([10]回答表!BD17="●",IF([10]回答表!AD45="●","●",""),"")</f>
        <v/>
      </c>
      <c r="O188" s="131"/>
      <c r="P188" s="131"/>
      <c r="Q188" s="132"/>
      <c r="R188" s="119"/>
      <c r="S188" s="119"/>
      <c r="T188" s="119"/>
      <c r="U188" s="133" t="str">
        <f>IF([10]回答表!BD17="●",IF([10]回答表!AD45="●",[10]回答表!B289,""),"")</f>
        <v/>
      </c>
      <c r="V188" s="134"/>
      <c r="W188" s="134"/>
      <c r="X188" s="134"/>
      <c r="Y188" s="134"/>
      <c r="Z188" s="134"/>
      <c r="AA188" s="134"/>
      <c r="AB188" s="134"/>
      <c r="AC188" s="134"/>
      <c r="AD188" s="134"/>
      <c r="AE188" s="134"/>
      <c r="AF188" s="134"/>
      <c r="AG188" s="134"/>
      <c r="AH188" s="134"/>
      <c r="AI188" s="134"/>
      <c r="AJ188" s="135"/>
      <c r="AK188" s="183"/>
      <c r="AL188" s="183"/>
      <c r="AM188" s="133" t="str">
        <f>IF([10]回答表!BD17="●",IF([10]回答表!AD45="●",[10]回答表!B295,""),"")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IF([10]回答表!X46="●","●","")</f>
        <v/>
      </c>
      <c r="O200" s="131"/>
      <c r="P200" s="131"/>
      <c r="Q200" s="132"/>
      <c r="R200" s="119"/>
      <c r="S200" s="119"/>
      <c r="T200" s="119"/>
      <c r="U200" s="133" t="str">
        <f>IF([10]回答表!X46="●",[10]回答表!B307,IF([10]回答表!AA46="●",[10]回答表!B324,""))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IF([10]回答表!X46="●",[10]回答表!U313,IF([10]回答表!AA46="●",[10]回答表!U330,""))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IF([10]回答表!X46="●",[10]回答表!G313,IF([10]回答表!AA46="●",[10]回答表!G330,""))</f>
        <v/>
      </c>
      <c r="AN203" s="83"/>
      <c r="AO203" s="83"/>
      <c r="AP203" s="83"/>
      <c r="AQ203" s="83"/>
      <c r="AR203" s="83"/>
      <c r="AS203" s="83"/>
      <c r="AT203" s="153"/>
      <c r="AU203" s="82" t="str">
        <f>IF([10]回答表!X46="●",[10]回答表!G314,IF([10]回答表!AA46="●",[10]回答表!G331,""))</f>
        <v/>
      </c>
      <c r="AV203" s="83"/>
      <c r="AW203" s="83"/>
      <c r="AX203" s="83"/>
      <c r="AY203" s="83"/>
      <c r="AZ203" s="83"/>
      <c r="BA203" s="83"/>
      <c r="BB203" s="153"/>
      <c r="BC203" s="120"/>
      <c r="BD203" s="109"/>
      <c r="BE203" s="109"/>
      <c r="BF203" s="150" t="str">
        <f>IF([10]回答表!X46="●",[10]回答表!X313,IF([10]回答表!AA46="●",[10]回答表!X330,""))</f>
        <v/>
      </c>
      <c r="BG203" s="151"/>
      <c r="BH203" s="151"/>
      <c r="BI203" s="151"/>
      <c r="BJ203" s="150" t="str">
        <f>IF([10]回答表!X46="●",[10]回答表!X314,IF([10]回答表!AA46="●",[10]回答表!X331,""))</f>
        <v/>
      </c>
      <c r="BK203" s="151"/>
      <c r="BL203" s="151"/>
      <c r="BM203" s="152"/>
      <c r="BN203" s="150" t="str">
        <f>IF([10]回答表!X46="●",[10]回答表!X315,IF([10]回答表!AA46="●",[10]回答表!X332,""))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IF([10]回答表!AA46="●","●","")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IF([10]回答表!AD46="●","●","")</f>
        <v/>
      </c>
      <c r="O212" s="131"/>
      <c r="P212" s="131"/>
      <c r="Q212" s="132"/>
      <c r="R212" s="119"/>
      <c r="S212" s="119"/>
      <c r="T212" s="119"/>
      <c r="U212" s="133" t="str">
        <f>IF([10]回答表!AD46="●",[10]回答表!B337,"")</f>
        <v/>
      </c>
      <c r="V212" s="134"/>
      <c r="W212" s="134"/>
      <c r="X212" s="134"/>
      <c r="Y212" s="134"/>
      <c r="Z212" s="134"/>
      <c r="AA212" s="134"/>
      <c r="AB212" s="134"/>
      <c r="AC212" s="134"/>
      <c r="AD212" s="134"/>
      <c r="AE212" s="134"/>
      <c r="AF212" s="134"/>
      <c r="AG212" s="134"/>
      <c r="AH212" s="134"/>
      <c r="AI212" s="134"/>
      <c r="AJ212" s="135"/>
      <c r="AK212" s="259"/>
      <c r="AL212" s="259"/>
      <c r="AM212" s="133" t="str">
        <f>IF([10]回答表!AD46="●",[10]回答表!B343,"")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IF([10]回答表!X47="●","●","")</f>
        <v/>
      </c>
      <c r="O224" s="131"/>
      <c r="P224" s="131"/>
      <c r="Q224" s="132"/>
      <c r="R224" s="119"/>
      <c r="S224" s="119"/>
      <c r="T224" s="119"/>
      <c r="U224" s="133" t="str">
        <f>IF([10]回答表!X47="●",[10]回答表!B356,IF([10]回答表!AA47="●",[10]回答表!B379,""))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IF([10]回答表!X47="●",[10]回答表!B362,"")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IF([10]回答表!X47="●",[10]回答表!B368,IF([10]回答表!AA47="●",[10]回答表!B385,""))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IF([10]回答表!X47="●",[10]回答表!E368,IF([10]回答表!AA47="●",[10]回答表!E385,""))</f>
        <v/>
      </c>
      <c r="BG227" s="151"/>
      <c r="BH227" s="151"/>
      <c r="BI227" s="151"/>
      <c r="BJ227" s="150" t="str">
        <f>IF([10]回答表!X47="●",[10]回答表!E369,IF([10]回答表!AA47="●",[10]回答表!E386,""))</f>
        <v/>
      </c>
      <c r="BK227" s="151"/>
      <c r="BL227" s="151"/>
      <c r="BM227" s="152"/>
      <c r="BN227" s="150" t="str">
        <f>IF([10]回答表!X47="●",[10]回答表!E370,IF([10]回答表!AA47="●",[10]回答表!E387,""))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IF([10]回答表!AA47="●","●","")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IF([10]回答表!AD47="●","●","")</f>
        <v/>
      </c>
      <c r="O236" s="131"/>
      <c r="P236" s="131"/>
      <c r="Q236" s="132"/>
      <c r="R236" s="119"/>
      <c r="S236" s="119"/>
      <c r="T236" s="119"/>
      <c r="U236" s="133" t="str">
        <f>IF([10]回答表!AD47="●",[10]回答表!B392,"")</f>
        <v/>
      </c>
      <c r="V236" s="134"/>
      <c r="W236" s="134"/>
      <c r="X236" s="134"/>
      <c r="Y236" s="134"/>
      <c r="Z236" s="134"/>
      <c r="AA236" s="134"/>
      <c r="AB236" s="134"/>
      <c r="AC236" s="134"/>
      <c r="AD236" s="134"/>
      <c r="AE236" s="134"/>
      <c r="AF236" s="134"/>
      <c r="AG236" s="134"/>
      <c r="AH236" s="134"/>
      <c r="AI236" s="134"/>
      <c r="AJ236" s="135"/>
      <c r="AK236" s="259"/>
      <c r="AL236" s="259"/>
      <c r="AM236" s="133" t="str">
        <f>IF([10]回答表!AD47="●",[10]回答表!B398,"")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IF([10]回答表!X48="●","●","")</f>
        <v/>
      </c>
      <c r="O248" s="131"/>
      <c r="P248" s="131"/>
      <c r="Q248" s="132"/>
      <c r="R248" s="119"/>
      <c r="S248" s="119"/>
      <c r="T248" s="119"/>
      <c r="U248" s="133" t="str">
        <f>IF([10]回答表!X48="●",[10]回答表!B411,IF([10]回答表!AA48="●",[10]回答表!B425,""))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IF([10]回答表!X48="●",[10]回答表!BC418,IF([10]回答表!AA48="●",[10]回答表!BC432,""))</f>
        <v/>
      </c>
      <c r="AR248" s="272"/>
      <c r="AS248" s="272"/>
      <c r="AT248" s="272"/>
      <c r="AU248" s="273" t="s">
        <v>73</v>
      </c>
      <c r="AV248" s="274"/>
      <c r="AW248" s="274"/>
      <c r="AX248" s="275"/>
      <c r="AY248" s="272" t="str">
        <f>IF([10]回答表!X48="●",[10]回答表!BC423,IF([10]回答表!AA48="●",[10]回答表!BC437,""))</f>
        <v/>
      </c>
      <c r="AZ248" s="272"/>
      <c r="BA248" s="272"/>
      <c r="BB248" s="272"/>
      <c r="BC248" s="120"/>
      <c r="BD248" s="109"/>
      <c r="BE248" s="109"/>
      <c r="BF248" s="138" t="str">
        <f>IF([10]回答表!X48="●",[10]回答表!S417,IF([10]回答表!AA48="●",[10]回答表!S431,""))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IF([10]回答表!X48="●",[10]回答表!BC419,IF([10]回答表!AA48="●",[10]回答表!BC433,""))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IF([10]回答表!X48="●",[10]回答表!V417,IF([10]回答表!AA48="●",[10]回答表!V431,""))</f>
        <v/>
      </c>
      <c r="BG251" s="151"/>
      <c r="BH251" s="151"/>
      <c r="BI251" s="151"/>
      <c r="BJ251" s="150" t="str">
        <f>IF([10]回答表!X48="●",[10]回答表!V418,IF([10]回答表!AA48="●",[10]回答表!V432,""))</f>
        <v/>
      </c>
      <c r="BK251" s="151"/>
      <c r="BL251" s="151"/>
      <c r="BM251" s="152"/>
      <c r="BN251" s="150" t="str">
        <f>IF([10]回答表!X48="●",[10]回答表!V419,IF([10]回答表!AA48="●",[10]回答表!V433,""))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IF([10]回答表!X48="●",[10]回答表!BC420,IF([10]回答表!AA48="●",[10]回答表!BC434,""))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IF([10]回答表!X48="●",[10]回答表!BC424,IF([10]回答表!AA48="●",[10]回答表!BC438,""))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IF([10]回答表!AA48="●","●","")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IF([10]回答表!X48="●",[10]回答表!BC421,IF([10]回答表!AA48="●",[10]回答表!BC435,""))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IF([10]回答表!X48="●",[10]回答表!BC422,IF([10]回答表!AA48="●",[10]回答表!BC436,""))</f>
        <v/>
      </c>
      <c r="AR256" s="272"/>
      <c r="AS256" s="272"/>
      <c r="AT256" s="272"/>
      <c r="AU256" s="224" t="s">
        <v>79</v>
      </c>
      <c r="AV256" s="225"/>
      <c r="AW256" s="225"/>
      <c r="AX256" s="226"/>
      <c r="AY256" s="282" t="str">
        <f>IF([10]回答表!X48="●",[10]回答表!BC425,IF([10]回答表!AA48="●",[10]回答表!BC439,""))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IF([10]回答表!AD48="●","●","")</f>
        <v/>
      </c>
      <c r="O260" s="131"/>
      <c r="P260" s="131"/>
      <c r="Q260" s="132"/>
      <c r="R260" s="119"/>
      <c r="S260" s="119"/>
      <c r="T260" s="119"/>
      <c r="U260" s="133" t="str">
        <f>IF([10]回答表!AD48="●",[10]回答表!B439,"")</f>
        <v/>
      </c>
      <c r="V260" s="134"/>
      <c r="W260" s="134"/>
      <c r="X260" s="134"/>
      <c r="Y260" s="134"/>
      <c r="Z260" s="134"/>
      <c r="AA260" s="134"/>
      <c r="AB260" s="134"/>
      <c r="AC260" s="134"/>
      <c r="AD260" s="134"/>
      <c r="AE260" s="134"/>
      <c r="AF260" s="134"/>
      <c r="AG260" s="134"/>
      <c r="AH260" s="134"/>
      <c r="AI260" s="134"/>
      <c r="AJ260" s="135"/>
      <c r="AK260" s="183"/>
      <c r="AL260" s="183"/>
      <c r="AM260" s="133" t="str">
        <f>IF([10]回答表!AD48="●",[10]回答表!B445,"")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IF([10]回答表!X49="●","●","")</f>
        <v/>
      </c>
      <c r="O271" s="131"/>
      <c r="P271" s="131"/>
      <c r="Q271" s="132"/>
      <c r="R271" s="119"/>
      <c r="S271" s="119"/>
      <c r="T271" s="119"/>
      <c r="U271" s="133" t="str">
        <f>IF([10]回答表!X49="●",[10]回答表!B458,IF([10]回答表!AA49="●",[10]回答表!B475,""))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IF([10]回答表!X49="●",[10]回答表!B468,IF([10]回答表!AA49="●",[10]回答表!B485,""))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IF([10]回答表!X49="●",[10]回答表!G464,IF([10]回答表!AA49="●",[10]回答表!G481,""))</f>
        <v/>
      </c>
      <c r="AN273" s="83"/>
      <c r="AO273" s="83"/>
      <c r="AP273" s="83"/>
      <c r="AQ273" s="83"/>
      <c r="AR273" s="83"/>
      <c r="AS273" s="83"/>
      <c r="AT273" s="153"/>
      <c r="AU273" s="82" t="str">
        <f>IF([10]回答表!X49="●",[10]回答表!G465,IF([10]回答表!AA49="●",[10]回答表!G482,""))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IF([10]回答表!X49="●",[10]回答表!E468,IF([10]回答表!AA49="●",[10]回答表!E485,""))</f>
        <v/>
      </c>
      <c r="BG274" s="151"/>
      <c r="BH274" s="151"/>
      <c r="BI274" s="151"/>
      <c r="BJ274" s="150" t="str">
        <f>IF([10]回答表!X49="●",[10]回答表!E469,IF([10]回答表!AA49="●",[10]回答表!E486,""))</f>
        <v/>
      </c>
      <c r="BK274" s="151"/>
      <c r="BL274" s="151"/>
      <c r="BM274" s="152"/>
      <c r="BN274" s="150" t="str">
        <f>IF([10]回答表!X49="●",[10]回答表!E470,IF([10]回答表!AA49="●",[10]回答表!E487,""))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IF([10]回答表!AA49="●","●","")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IF([10]回答表!AD49="●","●","")</f>
        <v/>
      </c>
      <c r="O283" s="131"/>
      <c r="P283" s="131"/>
      <c r="Q283" s="132"/>
      <c r="R283" s="119"/>
      <c r="S283" s="119"/>
      <c r="T283" s="119"/>
      <c r="U283" s="133" t="str">
        <f>IF([10]回答表!AD49="●",[10]回答表!B492,"")</f>
        <v/>
      </c>
      <c r="V283" s="134"/>
      <c r="W283" s="134"/>
      <c r="X283" s="134"/>
      <c r="Y283" s="134"/>
      <c r="Z283" s="134"/>
      <c r="AA283" s="134"/>
      <c r="AB283" s="134"/>
      <c r="AC283" s="134"/>
      <c r="AD283" s="134"/>
      <c r="AE283" s="134"/>
      <c r="AF283" s="134"/>
      <c r="AG283" s="134"/>
      <c r="AH283" s="134"/>
      <c r="AI283" s="134"/>
      <c r="AJ283" s="135"/>
      <c r="AK283" s="136"/>
      <c r="AL283" s="136"/>
      <c r="AM283" s="133" t="str">
        <f>IF([10]回答表!AD49="●",[10]回答表!B498,"")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IF([10]回答表!R50="●",[10]回答表!B511,"")</f>
        <v>事業の規模が小さく、人員が少ない等の理由から抜本的な改革の検討に至らないため。</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2A9ED-DD85-4BE0-91DD-770DDD4134B6}">
  <sheetPr>
    <pageSetUpPr fitToPage="1"/>
  </sheetPr>
  <dimension ref="A1:CN315"/>
  <sheetViews>
    <sheetView showZeros="0" view="pageBreakPreview" zoomScale="60" zoomScaleNormal="55" workbookViewId="0">
      <selection activeCell="AY122" sqref="AY122:BD12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仙北市</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公共下水道</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IF([4]回答表!F17="下水道事業",IF([4]回答表!X45="●",[4]回答表!E212,IF([4]回答表!AA45="●",[4]回答表!E278,"")),"")</f>
        <v/>
      </c>
      <c r="BG142" s="151"/>
      <c r="BH142" s="151"/>
      <c r="BI142" s="151"/>
      <c r="BJ142" s="150" t="str">
        <f>IF([4]回答表!F17="下水道事業",IF([4]回答表!X45="●",[4]回答表!E213,IF([4]回答表!AA45="●",[4]回答表!E279,"")),"")</f>
        <v/>
      </c>
      <c r="BK142" s="151"/>
      <c r="BL142" s="151"/>
      <c r="BM142" s="151"/>
      <c r="BN142" s="150" t="str">
        <f>IF([4]回答表!F17="下水道事業",IF([4]回答表!X45="●",[4]回答表!E214,IF([4]回答表!AA45="●",[4]回答表!E280,"")),"")</f>
        <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c>
      <c r="V147" s="83"/>
      <c r="W147" s="83"/>
      <c r="X147" s="83"/>
      <c r="Y147" s="83"/>
      <c r="Z147" s="83"/>
      <c r="AA147" s="83"/>
      <c r="AB147" s="153"/>
      <c r="AC147" s="82" t="str">
        <f>IF([4]回答表!F17="下水道事業",IF([4]回答表!X45="●",[4]回答表!Y196,IF([4]回答表!AA45="●",[4]回答表!Y262,"")),"")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c>
      <c r="V153" s="83"/>
      <c r="W153" s="83"/>
      <c r="X153" s="83"/>
      <c r="Y153" s="83"/>
      <c r="Z153" s="83"/>
      <c r="AA153" s="83"/>
      <c r="AB153" s="153"/>
      <c r="AC153" s="82" t="str">
        <f>IF([4]回答表!F17="下水道事業",IF([4]回答表!X45="●",[4]回答表!Y199,IF([4]回答表!AA45="●",[4]回答表!Y265,"")),"")</f>
        <v/>
      </c>
      <c r="AD153" s="83"/>
      <c r="AE153" s="83"/>
      <c r="AF153" s="83"/>
      <c r="AG153" s="83"/>
      <c r="AH153" s="83"/>
      <c r="AI153" s="83"/>
      <c r="AJ153" s="153"/>
      <c r="AK153" s="82" t="str">
        <f>IF([4]回答表!F17="下水道事業",IF([4]回答表!X45="●",[4]回答表!Y200,IF([4]回答表!AA45="●",[4]回答表!Y266,"")),"")</f>
        <v/>
      </c>
      <c r="AL153" s="83"/>
      <c r="AM153" s="83"/>
      <c r="AN153" s="83"/>
      <c r="AO153" s="83"/>
      <c r="AP153" s="83"/>
      <c r="AQ153" s="83"/>
      <c r="AR153" s="153"/>
      <c r="AS153" s="82" t="str">
        <f>IF([4]回答表!F17="下水道事業",IF([4]回答表!X45="●",[4]回答表!Y201,IF([4]回答表!AA45="●",[4]回答表!Y267,"")),"")</f>
        <v/>
      </c>
      <c r="AT153" s="83"/>
      <c r="AU153" s="83"/>
      <c r="AV153" s="83"/>
      <c r="AW153" s="83"/>
      <c r="AX153" s="83"/>
      <c r="AY153" s="83"/>
      <c r="AZ153" s="153"/>
      <c r="BA153" s="82" t="str">
        <f>IF([4]回答表!F17="下水道事業",IF([4]回答表!X45="●",[4]回答表!Y202,IF([4]回答表!AA45="●",[4]回答表!Y268,"")),"")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c>
      <c r="V159" s="83"/>
      <c r="W159" s="83"/>
      <c r="X159" s="83"/>
      <c r="Y159" s="83"/>
      <c r="Z159" s="83"/>
      <c r="AA159" s="83"/>
      <c r="AB159" s="153"/>
      <c r="AC159" s="82" t="str">
        <f>IF([4]回答表!F17="下水道事業",IF([4]回答表!X45="●",[4]回答表!Y208,IF([4]回答表!AA45="●",[4]回答表!Y274,"")),"")</f>
        <v/>
      </c>
      <c r="AD159" s="83"/>
      <c r="AE159" s="83"/>
      <c r="AF159" s="83"/>
      <c r="AG159" s="83"/>
      <c r="AH159" s="83"/>
      <c r="AI159" s="83"/>
      <c r="AJ159" s="153"/>
      <c r="AK159" s="82" t="str">
        <f>IF([4]回答表!F17="下水道事業",IF([4]回答表!X45="●",[4]回答表!Y209,IF([4]回答表!AA45="●",[4]回答表!Y275,"")),"")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民営化や民間活用等については、知見やノウハウの不足により検討まで至らなく、広域化については、地形的な問題等を抱えており、資本的な面でも今後の人口減少等から収入の減が見込まれている中での実施は現実的ではないと思われます。</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1" priority="2">
      <formula>$BB$25="○"</formula>
    </cfRule>
  </conditionalFormatting>
  <conditionalFormatting sqref="BD28:BD30">
    <cfRule type="expression" dxfId="2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597AD-D005-4220-BA2E-725DD14DE40D}">
  <sheetPr>
    <pageSetUpPr fitToPage="1"/>
  </sheetPr>
  <dimension ref="A1:CN315"/>
  <sheetViews>
    <sheetView showZeros="0" view="pageBreakPreview" zoomScale="60" zoomScaleNormal="55" workbookViewId="0">
      <selection activeCell="AY122" sqref="AY122:BD12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IF(COUNTIF([5]回答表!K15,"*")&gt;0,[5]回答表!K15,"")</f>
        <v>仙北市</v>
      </c>
      <c r="D11" s="8"/>
      <c r="E11" s="8"/>
      <c r="F11" s="8"/>
      <c r="G11" s="8"/>
      <c r="H11" s="8"/>
      <c r="I11" s="8"/>
      <c r="J11" s="8"/>
      <c r="K11" s="8"/>
      <c r="L11" s="8"/>
      <c r="M11" s="8"/>
      <c r="N11" s="8"/>
      <c r="O11" s="8"/>
      <c r="P11" s="8"/>
      <c r="Q11" s="8"/>
      <c r="R11" s="8"/>
      <c r="S11" s="8"/>
      <c r="T11" s="8"/>
      <c r="U11" s="22" t="str">
        <f>IF(COUNTIF([5]回答表!F17,"*")&gt;0,[5]回答表!F17,"")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IF(COUNTIF([5]回答表!W17,"*")&gt;0,[5]回答表!W17,"")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IF(COUNTIF([5]回答表!F19,"*")&gt;0,[5]回答表!F19,"")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IF([5]回答表!R43="●","●","")</f>
        <v/>
      </c>
      <c r="E24" s="80"/>
      <c r="F24" s="80"/>
      <c r="G24" s="80"/>
      <c r="H24" s="80"/>
      <c r="I24" s="80"/>
      <c r="J24" s="81"/>
      <c r="K24" s="79" t="str">
        <f>IF([5]回答表!R44="●","●","")</f>
        <v/>
      </c>
      <c r="L24" s="80"/>
      <c r="M24" s="80"/>
      <c r="N24" s="80"/>
      <c r="O24" s="80"/>
      <c r="P24" s="80"/>
      <c r="Q24" s="81"/>
      <c r="R24" s="79" t="str">
        <f>IF([5]回答表!R45="●","●","")</f>
        <v/>
      </c>
      <c r="S24" s="80"/>
      <c r="T24" s="80"/>
      <c r="U24" s="80"/>
      <c r="V24" s="80"/>
      <c r="W24" s="80"/>
      <c r="X24" s="81"/>
      <c r="Y24" s="79" t="str">
        <f>IF([5]回答表!R46="●","●","")</f>
        <v/>
      </c>
      <c r="Z24" s="80"/>
      <c r="AA24" s="80"/>
      <c r="AB24" s="80"/>
      <c r="AC24" s="80"/>
      <c r="AD24" s="80"/>
      <c r="AE24" s="81"/>
      <c r="AF24" s="79" t="str">
        <f>IF([5]回答表!R47="●","●","")</f>
        <v/>
      </c>
      <c r="AG24" s="80"/>
      <c r="AH24" s="80"/>
      <c r="AI24" s="80"/>
      <c r="AJ24" s="80"/>
      <c r="AK24" s="80"/>
      <c r="AL24" s="81"/>
      <c r="AM24" s="79" t="str">
        <f>IF([5]回答表!R48="●","●","")</f>
        <v/>
      </c>
      <c r="AN24" s="80"/>
      <c r="AO24" s="80"/>
      <c r="AP24" s="80"/>
      <c r="AQ24" s="80"/>
      <c r="AR24" s="80"/>
      <c r="AS24" s="81"/>
      <c r="AT24" s="79" t="str">
        <f>IF([5]回答表!R49="●","●","")</f>
        <v/>
      </c>
      <c r="AU24" s="80"/>
      <c r="AV24" s="80"/>
      <c r="AW24" s="80"/>
      <c r="AX24" s="80"/>
      <c r="AY24" s="80"/>
      <c r="AZ24" s="81"/>
      <c r="BA24" s="68"/>
      <c r="BB24" s="82" t="str">
        <f>IF([5]回答表!R50="●","●","")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IF([5]回答表!X43="●","●","")</f>
        <v/>
      </c>
      <c r="O36" s="131"/>
      <c r="P36" s="131"/>
      <c r="Q36" s="132"/>
      <c r="R36" s="119"/>
      <c r="S36" s="119"/>
      <c r="T36" s="119"/>
      <c r="U36" s="133" t="str">
        <f>IF([5]回答表!X43="●",[5]回答表!B59,IF([5]回答表!AA43="●",[5]回答表!B79,""))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IF([5]回答表!X43="●",[5]回答表!S65,IF([5]回答表!AA43="●",[5]回答表!S85,""))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IF([5]回答表!X43="●",[5]回答表!G65,IF([5]回答表!AA43="●",[5]回答表!G85,""))</f>
        <v/>
      </c>
      <c r="AN38" s="83"/>
      <c r="AO38" s="83"/>
      <c r="AP38" s="83"/>
      <c r="AQ38" s="83"/>
      <c r="AR38" s="83"/>
      <c r="AS38" s="83"/>
      <c r="AT38" s="153"/>
      <c r="AU38" s="82" t="str">
        <f>IF([5]回答表!X43="●",[5]回答表!G66,IF([5]回答表!AA43="●",[5]回答表!G86,""))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IF([5]回答表!X43="●",[5]回答表!V65,IF([5]回答表!AA43="●",[5]回答表!V85,""))</f>
        <v/>
      </c>
      <c r="BG39" s="16"/>
      <c r="BH39" s="16"/>
      <c r="BI39" s="17"/>
      <c r="BJ39" s="150" t="str">
        <f>IF([5]回答表!X43="●",[5]回答表!V66,IF([5]回答表!AA43="●",[5]回答表!V86,""))</f>
        <v/>
      </c>
      <c r="BK39" s="16"/>
      <c r="BL39" s="16"/>
      <c r="BM39" s="17"/>
      <c r="BN39" s="150" t="str">
        <f>IF([5]回答表!X43="●",[5]回答表!V67,IF([5]回答表!AA43="●",[5]回答表!V87,""))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IF([5]回答表!X43="●",[5]回答表!O71,IF([5]回答表!AA43="●",[5]回答表!O91,""))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IF([5]回答表!X43="●",[5]回答表!O72,IF([5]回答表!AA43="●",[5]回答表!O92,""))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IF([5]回答表!X43="●",[5]回答表!O73,IF([5]回答表!AA43="●",[5]回答表!O93,""))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IF([5]回答表!X43="●",[5]回答表!O74,IF([5]回答表!AA43="●",[5]回答表!O94,""))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IF([5]回答表!X43="●",[5]回答表!AG71,IF([5]回答表!AA43="●",[5]回答表!AG91,""))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IF([5]回答表!X43="●",[5]回答表!AG72,IF([5]回答表!AA43="●",[5]回答表!AG92,""))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IF([5]回答表!AD43="●","●","")</f>
        <v/>
      </c>
      <c r="O51" s="131"/>
      <c r="P51" s="131"/>
      <c r="Q51" s="132"/>
      <c r="R51" s="119"/>
      <c r="S51" s="119"/>
      <c r="T51" s="119"/>
      <c r="U51" s="133" t="str">
        <f>IF([5]回答表!AD43="●",[5]回答表!B99,"")</f>
        <v/>
      </c>
      <c r="V51" s="134"/>
      <c r="W51" s="134"/>
      <c r="X51" s="134"/>
      <c r="Y51" s="134"/>
      <c r="Z51" s="134"/>
      <c r="AA51" s="134"/>
      <c r="AB51" s="134"/>
      <c r="AC51" s="134"/>
      <c r="AD51" s="134"/>
      <c r="AE51" s="134"/>
      <c r="AF51" s="134"/>
      <c r="AG51" s="134"/>
      <c r="AH51" s="134"/>
      <c r="AI51" s="134"/>
      <c r="AJ51" s="135"/>
      <c r="AK51" s="183"/>
      <c r="AL51" s="183"/>
      <c r="AM51" s="133" t="str">
        <f>IF([5]回答表!AD43="●",[5]回答表!B104,"")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IF([5]回答表!X44="●","●","")</f>
        <v/>
      </c>
      <c r="O62" s="131"/>
      <c r="P62" s="131"/>
      <c r="Q62" s="132"/>
      <c r="R62" s="119"/>
      <c r="S62" s="119"/>
      <c r="T62" s="119"/>
      <c r="U62" s="133" t="str">
        <f>IF([5]回答表!X44="●",[5]回答表!B115,IF([5]回答表!AA44="●",[5]回答表!B127,""))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IF([5]回答表!X44="●",[5]回答表!S121,IF([5]回答表!AA44="●",[5]回答表!S133,""))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IF([5]回答表!X44="●",[5]回答表!J121,IF([5]回答表!AA44="●",[5]回答表!J133,""))</f>
        <v/>
      </c>
      <c r="AN65" s="83"/>
      <c r="AO65" s="83"/>
      <c r="AP65" s="83"/>
      <c r="AQ65" s="83"/>
      <c r="AR65" s="83"/>
      <c r="AS65" s="83"/>
      <c r="AT65" s="153"/>
      <c r="AU65" s="82" t="str">
        <f>IF([5]回答表!X44="●",[5]回答表!J122,IF([5]回答表!AA44="●",[5]回答表!J134,""))</f>
        <v/>
      </c>
      <c r="AV65" s="83"/>
      <c r="AW65" s="83"/>
      <c r="AX65" s="83"/>
      <c r="AY65" s="83"/>
      <c r="AZ65" s="83"/>
      <c r="BA65" s="83"/>
      <c r="BB65" s="153"/>
      <c r="BC65" s="120"/>
      <c r="BD65" s="109"/>
      <c r="BE65" s="109"/>
      <c r="BF65" s="150" t="str">
        <f>IF([5]回答表!X44="●",[5]回答表!V121,IF([5]回答表!AA44="●",[5]回答表!V133,""))</f>
        <v/>
      </c>
      <c r="BG65" s="151"/>
      <c r="BH65" s="151"/>
      <c r="BI65" s="151"/>
      <c r="BJ65" s="150" t="str">
        <f>IF([5]回答表!X44="●",[5]回答表!V122,IF([5]回答表!AA44="●",[5]回答表!V134,""))</f>
        <v/>
      </c>
      <c r="BK65" s="151"/>
      <c r="BL65" s="151"/>
      <c r="BM65" s="151"/>
      <c r="BN65" s="150" t="str">
        <f>IF([5]回答表!X44="●",[5]回答表!V123,IF([5]回答表!AA44="●",[5]回答表!V135,""))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IF([5]回答表!AD44="●","●","")</f>
        <v/>
      </c>
      <c r="O74" s="131"/>
      <c r="P74" s="131"/>
      <c r="Q74" s="132"/>
      <c r="R74" s="119"/>
      <c r="S74" s="119"/>
      <c r="T74" s="119"/>
      <c r="U74" s="133" t="str">
        <f>IF([5]回答表!AD44="●",[5]回答表!B140,"")</f>
        <v/>
      </c>
      <c r="V74" s="134"/>
      <c r="W74" s="134"/>
      <c r="X74" s="134"/>
      <c r="Y74" s="134"/>
      <c r="Z74" s="134"/>
      <c r="AA74" s="134"/>
      <c r="AB74" s="134"/>
      <c r="AC74" s="134"/>
      <c r="AD74" s="134"/>
      <c r="AE74" s="134"/>
      <c r="AF74" s="134"/>
      <c r="AG74" s="134"/>
      <c r="AH74" s="134"/>
      <c r="AI74" s="134"/>
      <c r="AJ74" s="135"/>
      <c r="AK74" s="183"/>
      <c r="AL74" s="183"/>
      <c r="AM74" s="133" t="str">
        <f>IF([5]回答表!AD44="●",[5]回答表!B146,"")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IF([5]回答表!F17="水道事業",IF([5]回答表!X45="●","●",""),"")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IF([5]回答表!F17="水道事業",IF([5]回答表!X45="●",[5]回答表!B158,IF([5]回答表!AA45="●",[5]回答表!B223,"")),"")</f>
        <v/>
      </c>
      <c r="AN86" s="201"/>
      <c r="AO86" s="201"/>
      <c r="AP86" s="201"/>
      <c r="AQ86" s="201"/>
      <c r="AR86" s="201"/>
      <c r="AS86" s="201"/>
      <c r="AT86" s="201"/>
      <c r="AU86" s="201"/>
      <c r="AV86" s="201"/>
      <c r="AW86" s="201"/>
      <c r="AX86" s="201"/>
      <c r="AY86" s="201"/>
      <c r="AZ86" s="201"/>
      <c r="BA86" s="201"/>
      <c r="BB86" s="201"/>
      <c r="BC86" s="202"/>
      <c r="BD86" s="109"/>
      <c r="BE86" s="109"/>
      <c r="BF86" s="138" t="str">
        <f>IF([5]回答表!F17="水道事業",IF([5]回答表!X45="●",[5]回答表!B212,IF([5]回答表!AA45="●",[5]回答表!B278,"")),"")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IF([5]回答表!F17="水道事業",IF([5]回答表!X45="●",[5]回答表!J166,IF([5]回答表!AA45="●",[5]回答表!J231,"")),"")</f>
        <v/>
      </c>
      <c r="V88" s="83"/>
      <c r="W88" s="83"/>
      <c r="X88" s="83"/>
      <c r="Y88" s="83"/>
      <c r="Z88" s="83"/>
      <c r="AA88" s="83"/>
      <c r="AB88" s="153"/>
      <c r="AC88" s="82" t="str">
        <f>IF([5]回答表!F17="水道事業",IF([5]回答表!X45="●",[5]回答表!J173,IF([5]回答表!AA45="●",[5]回答表!J238,"")),"")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IF([5]回答表!F17="水道事業",IF([5]回答表!X45="●",[5]回答表!E212,IF([5]回答表!AA45="●",[5]回答表!E278,"")),"")</f>
        <v/>
      </c>
      <c r="BG89" s="151"/>
      <c r="BH89" s="151"/>
      <c r="BI89" s="151"/>
      <c r="BJ89" s="150" t="str">
        <f>IF([5]回答表!F17="水道事業",IF([5]回答表!X45="●",[5]回答表!E213,IF([5]回答表!AA45="●",[5]回答表!E279,"")),"")</f>
        <v/>
      </c>
      <c r="BK89" s="151"/>
      <c r="BL89" s="151"/>
      <c r="BM89" s="151"/>
      <c r="BN89" s="150" t="str">
        <f>IF([5]回答表!F17="水道事業",IF([5]回答表!X45="●",[5]回答表!E214,IF([5]回答表!AA45="●",[5]回答表!E280,"")),"")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IF([5]回答表!F17="水道事業",IF([5]回答表!AA45="●","●",""),"")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IF([5]回答表!F17="水道事業",IF([5]回答表!X45="●",[5]回答表!J176,IF([5]回答表!AA45="●",[5]回答表!J241,"")),"")</f>
        <v/>
      </c>
      <c r="V93" s="83"/>
      <c r="W93" s="83"/>
      <c r="X93" s="83"/>
      <c r="Y93" s="83"/>
      <c r="Z93" s="83"/>
      <c r="AA93" s="83"/>
      <c r="AB93" s="153"/>
      <c r="AC93" s="82" t="str">
        <f>IF([5]回答表!F17="水道事業",IF([5]回答表!X45="●",[5]回答表!J180,IF([5]回答表!AA45="●",[5]回答表!J245,"")),"")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IF([5]回答表!F17="水道事業",IF([5]回答表!AD45="●","●",""),"")</f>
        <v/>
      </c>
      <c r="O98" s="131"/>
      <c r="P98" s="131"/>
      <c r="Q98" s="132"/>
      <c r="R98" s="119"/>
      <c r="S98" s="119"/>
      <c r="T98" s="119"/>
      <c r="U98" s="133" t="str">
        <f>IF([5]回答表!F17="水道事業",IF([5]回答表!AD45="●",[5]回答表!B289,""),"")</f>
        <v/>
      </c>
      <c r="V98" s="134"/>
      <c r="W98" s="134"/>
      <c r="X98" s="134"/>
      <c r="Y98" s="134"/>
      <c r="Z98" s="134"/>
      <c r="AA98" s="134"/>
      <c r="AB98" s="134"/>
      <c r="AC98" s="134"/>
      <c r="AD98" s="134"/>
      <c r="AE98" s="134"/>
      <c r="AF98" s="134"/>
      <c r="AG98" s="134"/>
      <c r="AH98" s="134"/>
      <c r="AI98" s="134"/>
      <c r="AJ98" s="135"/>
      <c r="AK98" s="183"/>
      <c r="AL98" s="183"/>
      <c r="AM98" s="133" t="str">
        <f>IF([5]回答表!F17="水道事業",IF([5]回答表!AD45="●",[5]回答表!B295,""),"")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IF([5]回答表!F17="簡易水道事業",IF([5]回答表!X45="●",[5]回答表!B158,IF([5]回答表!AA45="●",[5]回答表!B223,"")),"")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IF([5]回答表!F17="簡易水道事業",IF([5]回答表!X45="●",[5]回答表!B212,IF([5]回答表!AA45="●",[5]回答表!B278,"")),"")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IF([5]回答表!F17="簡易水道事業",IF([5]回答表!X45="●","●",""),"")</f>
        <v/>
      </c>
      <c r="O112" s="131"/>
      <c r="P112" s="131"/>
      <c r="Q112" s="132"/>
      <c r="R112" s="119"/>
      <c r="S112" s="119"/>
      <c r="T112" s="119"/>
      <c r="U112" s="82" t="str">
        <f>IF([5]回答表!F17="簡易水道事業",IF([5]回答表!X45="●",[5]回答表!Y185,IF([5]回答表!AA45="●",[5]回答表!Y251,"")),"")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IF([5]回答表!F17="簡易水道事業",IF([5]回答表!X45="●",[5]回答表!E212,IF([5]回答表!AA45="●",[5]回答表!E278,"")),"")</f>
        <v/>
      </c>
      <c r="BG113" s="151"/>
      <c r="BH113" s="151"/>
      <c r="BI113" s="151"/>
      <c r="BJ113" s="150" t="str">
        <f>IF([5]回答表!F17="簡易水道事業",IF([5]回答表!X45="●",[5]回答表!E213,IF([5]回答表!AA45="●",[5]回答表!E279,"")),"")</f>
        <v/>
      </c>
      <c r="BK113" s="151"/>
      <c r="BL113" s="151"/>
      <c r="BM113" s="151"/>
      <c r="BN113" s="150" t="str">
        <f>IF([5]回答表!F17="簡易水道事業",IF([5]回答表!X45="●",[5]回答表!E214,IF([5]回答表!AA45="●",[5]回答表!E280,"")),"")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IF([5]回答表!F17="簡易水道事業",IF([5]回答表!X45="●",[5]回答表!Y186,IF([5]回答表!AA45="●",[5]回答表!Y252,"")),"")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IF([5]回答表!F17="簡易水道事業",IF([5]回答表!AA45="●","●",""),"")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IF([5]回答表!F17="簡易水道事業",IF([5]回答表!X45="●",[5]回答表!Y187,IF([5]回答表!AA45="●",[5]回答表!Y253,"")),"")</f>
        <v/>
      </c>
      <c r="V122" s="83"/>
      <c r="W122" s="83"/>
      <c r="X122" s="83"/>
      <c r="Y122" s="83"/>
      <c r="Z122" s="83"/>
      <c r="AA122" s="83"/>
      <c r="AB122" s="83"/>
      <c r="AC122" s="83"/>
      <c r="AD122" s="83"/>
      <c r="AE122" s="83"/>
      <c r="AF122" s="83"/>
      <c r="AG122" s="83"/>
      <c r="AH122" s="83"/>
      <c r="AI122" s="83"/>
      <c r="AJ122" s="153"/>
      <c r="AK122" s="68"/>
      <c r="AL122" s="68"/>
      <c r="AM122" s="233" t="str">
        <f>IF([5]回答表!F17="簡易水道事業",IF([5]回答表!X45="●",[5]回答表!Y189,IF([5]回答表!AA45="●",[5]回答表!Y255,"")),"")</f>
        <v/>
      </c>
      <c r="AN122" s="233"/>
      <c r="AO122" s="233"/>
      <c r="AP122" s="233"/>
      <c r="AQ122" s="233"/>
      <c r="AR122" s="233"/>
      <c r="AS122" s="233" t="str">
        <f>IF([5]回答表!F17="簡易水道事業",IF([5]回答表!X45="●",[5]回答表!Y190,IF([5]回答表!AA45="●",[5]回答表!Y256,"")),"")</f>
        <v/>
      </c>
      <c r="AT122" s="233"/>
      <c r="AU122" s="233"/>
      <c r="AV122" s="233"/>
      <c r="AW122" s="233"/>
      <c r="AX122" s="233"/>
      <c r="AY122" s="233" t="str">
        <f>IF([5]回答表!F17="簡易水道事業",IF([5]回答表!X45="●",[5]回答表!Y191,IF([5]回答表!AA45="●",[5]回答表!Y257,"")),"")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IF([5]回答表!F17="簡易水道事業",IF([5]回答表!AD45="●","●",""),"")</f>
        <v/>
      </c>
      <c r="O127" s="131"/>
      <c r="P127" s="131"/>
      <c r="Q127" s="132"/>
      <c r="R127" s="119"/>
      <c r="S127" s="119"/>
      <c r="T127" s="119"/>
      <c r="U127" s="133" t="str">
        <f>IF([5]回答表!F17="簡易水道事業",IF([5]回答表!AD45="●",[5]回答表!B289,""),"")</f>
        <v/>
      </c>
      <c r="V127" s="134"/>
      <c r="W127" s="134"/>
      <c r="X127" s="134"/>
      <c r="Y127" s="134"/>
      <c r="Z127" s="134"/>
      <c r="AA127" s="134"/>
      <c r="AB127" s="134"/>
      <c r="AC127" s="134"/>
      <c r="AD127" s="134"/>
      <c r="AE127" s="134"/>
      <c r="AF127" s="134"/>
      <c r="AG127" s="134"/>
      <c r="AH127" s="134"/>
      <c r="AI127" s="134"/>
      <c r="AJ127" s="135"/>
      <c r="AK127" s="183"/>
      <c r="AL127" s="183"/>
      <c r="AM127" s="133" t="str">
        <f>IF([5]回答表!F17="簡易水道事業",IF([5]回答表!AD45="●",[5]回答表!B295,""),"")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IF([5]回答表!F17="下水道事業",IF([5]回答表!X45="●","●",""),"")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IF([5]回答表!F17="下水道事業",IF([5]回答表!X45="●",[5]回答表!B158,IF([5]回答表!AA45="●",[5]回答表!B223,"")),"")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IF([5]回答表!F17="下水道事業",IF([5]回答表!X45="●",[5]回答表!B212,IF([5]回答表!AA45="●",[5]回答表!B278,"")),"")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IF([5]回答表!F17="下水道事業",IF([5]回答表!X45="●",[5]回答表!Y193,IF([5]回答表!AA45="●",[5]回答表!Y259,"")),"")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IF([5]回答表!F17="下水道事業",IF([5]回答表!X45="●",[5]回答表!E212,IF([5]回答表!AA45="●",[5]回答表!E278,"")),"")</f>
        <v/>
      </c>
      <c r="BG142" s="151"/>
      <c r="BH142" s="151"/>
      <c r="BI142" s="151"/>
      <c r="BJ142" s="150" t="str">
        <f>IF([5]回答表!F17="下水道事業",IF([5]回答表!X45="●",[5]回答表!E213,IF([5]回答表!AA45="●",[5]回答表!E279,"")),"")</f>
        <v/>
      </c>
      <c r="BK142" s="151"/>
      <c r="BL142" s="151"/>
      <c r="BM142" s="151"/>
      <c r="BN142" s="150" t="str">
        <f>IF([5]回答表!F17="下水道事業",IF([5]回答表!X45="●",[5]回答表!E214,IF([5]回答表!AA45="●",[5]回答表!E280,"")),"")</f>
        <v/>
      </c>
      <c r="BO142" s="151"/>
      <c r="BP142" s="151"/>
      <c r="BQ142" s="152"/>
      <c r="BR142" s="112"/>
      <c r="BX142" s="200" t="str">
        <f>IF([5]回答表!AQ20="下水道事業",IF([5]回答表!BI48="○",[5]回答表!AM161,IF([5]回答表!BL48="○",[5]回答表!AM226,"")),"")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IF([5]回答表!F17="下水道事業",IF([5]回答表!X45="●",[5]回答表!Y195,IF([5]回答表!AA45="●",[5]回答表!Y261,"")),"")</f>
        <v/>
      </c>
      <c r="V147" s="83"/>
      <c r="W147" s="83"/>
      <c r="X147" s="83"/>
      <c r="Y147" s="83"/>
      <c r="Z147" s="83"/>
      <c r="AA147" s="83"/>
      <c r="AB147" s="153"/>
      <c r="AC147" s="82" t="str">
        <f>IF([5]回答表!F17="下水道事業",IF([5]回答表!X45="●",[5]回答表!Y196,IF([5]回答表!AA45="●",[5]回答表!Y262,"")),"")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IF([5]回答表!F17="下水道事業",IF([5]回答表!X45="●",[5]回答表!Y198,IF([5]回答表!AA45="●",[5]回答表!Y264,"")),"")</f>
        <v/>
      </c>
      <c r="V153" s="83"/>
      <c r="W153" s="83"/>
      <c r="X153" s="83"/>
      <c r="Y153" s="83"/>
      <c r="Z153" s="83"/>
      <c r="AA153" s="83"/>
      <c r="AB153" s="153"/>
      <c r="AC153" s="82" t="str">
        <f>IF([5]回答表!F17="下水道事業",IF([5]回答表!X45="●",[5]回答表!Y199,IF([5]回答表!AA45="●",[5]回答表!Y265,"")),"")</f>
        <v/>
      </c>
      <c r="AD153" s="83"/>
      <c r="AE153" s="83"/>
      <c r="AF153" s="83"/>
      <c r="AG153" s="83"/>
      <c r="AH153" s="83"/>
      <c r="AI153" s="83"/>
      <c r="AJ153" s="153"/>
      <c r="AK153" s="82" t="str">
        <f>IF([5]回答表!F17="下水道事業",IF([5]回答表!X45="●",[5]回答表!Y200,IF([5]回答表!AA45="●",[5]回答表!Y266,"")),"")</f>
        <v/>
      </c>
      <c r="AL153" s="83"/>
      <c r="AM153" s="83"/>
      <c r="AN153" s="83"/>
      <c r="AO153" s="83"/>
      <c r="AP153" s="83"/>
      <c r="AQ153" s="83"/>
      <c r="AR153" s="153"/>
      <c r="AS153" s="82" t="str">
        <f>IF([5]回答表!F17="下水道事業",IF([5]回答表!X45="●",[5]回答表!Y201,IF([5]回答表!AA45="●",[5]回答表!Y267,"")),"")</f>
        <v/>
      </c>
      <c r="AT153" s="83"/>
      <c r="AU153" s="83"/>
      <c r="AV153" s="83"/>
      <c r="AW153" s="83"/>
      <c r="AX153" s="83"/>
      <c r="AY153" s="83"/>
      <c r="AZ153" s="153"/>
      <c r="BA153" s="82" t="str">
        <f>IF([5]回答表!F17="下水道事業",IF([5]回答表!X45="●",[5]回答表!Y202,IF([5]回答表!AA45="●",[5]回答表!Y268,"")),"")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IF([5]回答表!F17="下水道事業",IF([5]回答表!AA45="●","●",""),"")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IF([5]回答表!F17="下水道事業",IF([5]回答表!X45="●",[5]回答表!Y207,IF([5]回答表!AA45="●",[5]回答表!Y273,"")),"")</f>
        <v/>
      </c>
      <c r="V159" s="83"/>
      <c r="W159" s="83"/>
      <c r="X159" s="83"/>
      <c r="Y159" s="83"/>
      <c r="Z159" s="83"/>
      <c r="AA159" s="83"/>
      <c r="AB159" s="153"/>
      <c r="AC159" s="82" t="str">
        <f>IF([5]回答表!F17="下水道事業",IF([5]回答表!X45="●",[5]回答表!Y208,IF([5]回答表!AA45="●",[5]回答表!Y274,"")),"")</f>
        <v/>
      </c>
      <c r="AD159" s="83"/>
      <c r="AE159" s="83"/>
      <c r="AF159" s="83"/>
      <c r="AG159" s="83"/>
      <c r="AH159" s="83"/>
      <c r="AI159" s="83"/>
      <c r="AJ159" s="153"/>
      <c r="AK159" s="82" t="str">
        <f>IF([5]回答表!F17="下水道事業",IF([5]回答表!X45="●",[5]回答表!Y209,IF([5]回答表!AA45="●",[5]回答表!Y275,"")),"")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IF([5]回答表!F17="下水道事業",IF([5]回答表!AD45="●","●",""),"")</f>
        <v/>
      </c>
      <c r="O164" s="131"/>
      <c r="P164" s="131"/>
      <c r="Q164" s="132"/>
      <c r="R164" s="119"/>
      <c r="S164" s="119"/>
      <c r="T164" s="119"/>
      <c r="U164" s="133" t="str">
        <f>IF([5]回答表!F17="下水道事業",IF([5]回答表!AD45="●",[5]回答表!B289,""),"")</f>
        <v/>
      </c>
      <c r="V164" s="134"/>
      <c r="W164" s="134"/>
      <c r="X164" s="134"/>
      <c r="Y164" s="134"/>
      <c r="Z164" s="134"/>
      <c r="AA164" s="134"/>
      <c r="AB164" s="134"/>
      <c r="AC164" s="134"/>
      <c r="AD164" s="134"/>
      <c r="AE164" s="134"/>
      <c r="AF164" s="134"/>
      <c r="AG164" s="134"/>
      <c r="AH164" s="134"/>
      <c r="AI164" s="134"/>
      <c r="AJ164" s="135"/>
      <c r="AK164" s="183"/>
      <c r="AL164" s="183"/>
      <c r="AM164" s="133" t="str">
        <f>IF([5]回答表!F17="下水道事業",IF([5]回答表!AD45="●",[5]回答表!B295,""),"")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IF([5]回答表!BD17="●",IF([5]回答表!X45="●","●",""),"")</f>
        <v/>
      </c>
      <c r="O176" s="131"/>
      <c r="P176" s="131"/>
      <c r="Q176" s="132"/>
      <c r="R176" s="119"/>
      <c r="S176" s="119"/>
      <c r="T176" s="119"/>
      <c r="U176" s="133" t="str">
        <f>IF([5]回答表!BD17="●",IF([5]回答表!X45="●",[5]回答表!B158,IF([5]回答表!AA45="●",[5]回答表!B223,"")),"")</f>
        <v/>
      </c>
      <c r="V176" s="134"/>
      <c r="W176" s="134"/>
      <c r="X176" s="134"/>
      <c r="Y176" s="134"/>
      <c r="Z176" s="134"/>
      <c r="AA176" s="134"/>
      <c r="AB176" s="134"/>
      <c r="AC176" s="134"/>
      <c r="AD176" s="134"/>
      <c r="AE176" s="134"/>
      <c r="AF176" s="134"/>
      <c r="AG176" s="134"/>
      <c r="AH176" s="134"/>
      <c r="AI176" s="134"/>
      <c r="AJ176" s="135"/>
      <c r="AK176" s="136"/>
      <c r="AL176" s="136"/>
      <c r="AM176" s="138" t="str">
        <f>IF([5]回答表!BD17="●",IF([5]回答表!X45="●",[5]回答表!B212,IF([5]回答表!AA45="●",[5]回答表!B278,"")),"")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IF([5]回答表!BD17="●",IF([5]回答表!X45="●",[5]回答表!E212,IF([5]回答表!AA45="●",[5]回答表!E278,"")),"")</f>
        <v/>
      </c>
      <c r="AN179" s="151"/>
      <c r="AO179" s="151"/>
      <c r="AP179" s="151"/>
      <c r="AQ179" s="150" t="str">
        <f>IF([5]回答表!BD17="●",IF([5]回答表!X45="●",[5]回答表!E213,IF([5]回答表!AA45="●",[5]回答表!E279,"")),"")</f>
        <v/>
      </c>
      <c r="AR179" s="151"/>
      <c r="AS179" s="151"/>
      <c r="AT179" s="151"/>
      <c r="AU179" s="150" t="str">
        <f>IF([5]回答表!BD17="●",IF([5]回答表!X45="●",[5]回答表!E214,IF([5]回答表!AA45="●",[5]回答表!E280,"")),"")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IF([5]回答表!BD17="●",IF([5]回答表!AA45="●","●",""),"")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IF([5]回答表!BD17="●",IF([5]回答表!AD45="●","●",""),"")</f>
        <v/>
      </c>
      <c r="O188" s="131"/>
      <c r="P188" s="131"/>
      <c r="Q188" s="132"/>
      <c r="R188" s="119"/>
      <c r="S188" s="119"/>
      <c r="T188" s="119"/>
      <c r="U188" s="133" t="str">
        <f>IF([5]回答表!BD17="●",IF([5]回答表!AD45="●",[5]回答表!B289,""),"")</f>
        <v/>
      </c>
      <c r="V188" s="134"/>
      <c r="W188" s="134"/>
      <c r="X188" s="134"/>
      <c r="Y188" s="134"/>
      <c r="Z188" s="134"/>
      <c r="AA188" s="134"/>
      <c r="AB188" s="134"/>
      <c r="AC188" s="134"/>
      <c r="AD188" s="134"/>
      <c r="AE188" s="134"/>
      <c r="AF188" s="134"/>
      <c r="AG188" s="134"/>
      <c r="AH188" s="134"/>
      <c r="AI188" s="134"/>
      <c r="AJ188" s="135"/>
      <c r="AK188" s="183"/>
      <c r="AL188" s="183"/>
      <c r="AM188" s="133" t="str">
        <f>IF([5]回答表!BD17="●",IF([5]回答表!AD45="●",[5]回答表!B295,""),"")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IF([5]回答表!X46="●","●","")</f>
        <v/>
      </c>
      <c r="O200" s="131"/>
      <c r="P200" s="131"/>
      <c r="Q200" s="132"/>
      <c r="R200" s="119"/>
      <c r="S200" s="119"/>
      <c r="T200" s="119"/>
      <c r="U200" s="133" t="str">
        <f>IF([5]回答表!X46="●",[5]回答表!B307,IF([5]回答表!AA46="●",[5]回答表!B324,""))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IF([5]回答表!X46="●",[5]回答表!U313,IF([5]回答表!AA46="●",[5]回答表!U330,""))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IF([5]回答表!X46="●",[5]回答表!G313,IF([5]回答表!AA46="●",[5]回答表!G330,""))</f>
        <v/>
      </c>
      <c r="AN203" s="83"/>
      <c r="AO203" s="83"/>
      <c r="AP203" s="83"/>
      <c r="AQ203" s="83"/>
      <c r="AR203" s="83"/>
      <c r="AS203" s="83"/>
      <c r="AT203" s="153"/>
      <c r="AU203" s="82" t="str">
        <f>IF([5]回答表!X46="●",[5]回答表!G314,IF([5]回答表!AA46="●",[5]回答表!G331,""))</f>
        <v/>
      </c>
      <c r="AV203" s="83"/>
      <c r="AW203" s="83"/>
      <c r="AX203" s="83"/>
      <c r="AY203" s="83"/>
      <c r="AZ203" s="83"/>
      <c r="BA203" s="83"/>
      <c r="BB203" s="153"/>
      <c r="BC203" s="120"/>
      <c r="BD203" s="109"/>
      <c r="BE203" s="109"/>
      <c r="BF203" s="150" t="str">
        <f>IF([5]回答表!X46="●",[5]回答表!X313,IF([5]回答表!AA46="●",[5]回答表!X330,""))</f>
        <v/>
      </c>
      <c r="BG203" s="151"/>
      <c r="BH203" s="151"/>
      <c r="BI203" s="151"/>
      <c r="BJ203" s="150" t="str">
        <f>IF([5]回答表!X46="●",[5]回答表!X314,IF([5]回答表!AA46="●",[5]回答表!X331,""))</f>
        <v/>
      </c>
      <c r="BK203" s="151"/>
      <c r="BL203" s="151"/>
      <c r="BM203" s="152"/>
      <c r="BN203" s="150" t="str">
        <f>IF([5]回答表!X46="●",[5]回答表!X315,IF([5]回答表!AA46="●",[5]回答表!X332,""))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IF([5]回答表!AD46="●","●","")</f>
        <v/>
      </c>
      <c r="O212" s="131"/>
      <c r="P212" s="131"/>
      <c r="Q212" s="132"/>
      <c r="R212" s="119"/>
      <c r="S212" s="119"/>
      <c r="T212" s="119"/>
      <c r="U212" s="133" t="str">
        <f>IF([5]回答表!AD46="●",[5]回答表!B337,"")</f>
        <v/>
      </c>
      <c r="V212" s="134"/>
      <c r="W212" s="134"/>
      <c r="X212" s="134"/>
      <c r="Y212" s="134"/>
      <c r="Z212" s="134"/>
      <c r="AA212" s="134"/>
      <c r="AB212" s="134"/>
      <c r="AC212" s="134"/>
      <c r="AD212" s="134"/>
      <c r="AE212" s="134"/>
      <c r="AF212" s="134"/>
      <c r="AG212" s="134"/>
      <c r="AH212" s="134"/>
      <c r="AI212" s="134"/>
      <c r="AJ212" s="135"/>
      <c r="AK212" s="259"/>
      <c r="AL212" s="259"/>
      <c r="AM212" s="133" t="str">
        <f>IF([5]回答表!AD46="●",[5]回答表!B343,"")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IF([5]回答表!X47="●","●","")</f>
        <v/>
      </c>
      <c r="O224" s="131"/>
      <c r="P224" s="131"/>
      <c r="Q224" s="132"/>
      <c r="R224" s="119"/>
      <c r="S224" s="119"/>
      <c r="T224" s="119"/>
      <c r="U224" s="133" t="str">
        <f>IF([5]回答表!X47="●",[5]回答表!B356,IF([5]回答表!AA47="●",[5]回答表!B379,""))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IF([5]回答表!X47="●",[5]回答表!B362,"")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IF([5]回答表!X47="●",[5]回答表!B368,IF([5]回答表!AA47="●",[5]回答表!B385,""))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IF([5]回答表!X47="●",[5]回答表!E368,IF([5]回答表!AA47="●",[5]回答表!E385,""))</f>
        <v/>
      </c>
      <c r="BG227" s="151"/>
      <c r="BH227" s="151"/>
      <c r="BI227" s="151"/>
      <c r="BJ227" s="150" t="str">
        <f>IF([5]回答表!X47="●",[5]回答表!E369,IF([5]回答表!AA47="●",[5]回答表!E386,""))</f>
        <v/>
      </c>
      <c r="BK227" s="151"/>
      <c r="BL227" s="151"/>
      <c r="BM227" s="152"/>
      <c r="BN227" s="150" t="str">
        <f>IF([5]回答表!X47="●",[5]回答表!E370,IF([5]回答表!AA47="●",[5]回答表!E387,""))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IF([5]回答表!AD47="●","●","")</f>
        <v/>
      </c>
      <c r="O236" s="131"/>
      <c r="P236" s="131"/>
      <c r="Q236" s="132"/>
      <c r="R236" s="119"/>
      <c r="S236" s="119"/>
      <c r="T236" s="119"/>
      <c r="U236" s="133" t="str">
        <f>IF([5]回答表!AD47="●",[5]回答表!B392,"")</f>
        <v/>
      </c>
      <c r="V236" s="134"/>
      <c r="W236" s="134"/>
      <c r="X236" s="134"/>
      <c r="Y236" s="134"/>
      <c r="Z236" s="134"/>
      <c r="AA236" s="134"/>
      <c r="AB236" s="134"/>
      <c r="AC236" s="134"/>
      <c r="AD236" s="134"/>
      <c r="AE236" s="134"/>
      <c r="AF236" s="134"/>
      <c r="AG236" s="134"/>
      <c r="AH236" s="134"/>
      <c r="AI236" s="134"/>
      <c r="AJ236" s="135"/>
      <c r="AK236" s="259"/>
      <c r="AL236" s="259"/>
      <c r="AM236" s="133" t="str">
        <f>IF([5]回答表!AD47="●",[5]回答表!B398,"")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IF([5]回答表!X48="●","●","")</f>
        <v/>
      </c>
      <c r="O248" s="131"/>
      <c r="P248" s="131"/>
      <c r="Q248" s="132"/>
      <c r="R248" s="119"/>
      <c r="S248" s="119"/>
      <c r="T248" s="119"/>
      <c r="U248" s="133" t="str">
        <f>IF([5]回答表!X48="●",[5]回答表!B411,IF([5]回答表!AA48="●",[5]回答表!B425,""))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IF([5]回答表!X48="●",[5]回答表!BC418,IF([5]回答表!AA48="●",[5]回答表!BC432,""))</f>
        <v/>
      </c>
      <c r="AR248" s="272"/>
      <c r="AS248" s="272"/>
      <c r="AT248" s="272"/>
      <c r="AU248" s="273" t="s">
        <v>73</v>
      </c>
      <c r="AV248" s="274"/>
      <c r="AW248" s="274"/>
      <c r="AX248" s="275"/>
      <c r="AY248" s="272" t="str">
        <f>IF([5]回答表!X48="●",[5]回答表!BC423,IF([5]回答表!AA48="●",[5]回答表!BC437,""))</f>
        <v/>
      </c>
      <c r="AZ248" s="272"/>
      <c r="BA248" s="272"/>
      <c r="BB248" s="272"/>
      <c r="BC248" s="120"/>
      <c r="BD248" s="109"/>
      <c r="BE248" s="109"/>
      <c r="BF248" s="138" t="str">
        <f>IF([5]回答表!X48="●",[5]回答表!S417,IF([5]回答表!AA48="●",[5]回答表!S431,""))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IF([5]回答表!X48="●",[5]回答表!BC419,IF([5]回答表!AA48="●",[5]回答表!BC433,""))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IF([5]回答表!X48="●",[5]回答表!V417,IF([5]回答表!AA48="●",[5]回答表!V431,""))</f>
        <v/>
      </c>
      <c r="BG251" s="151"/>
      <c r="BH251" s="151"/>
      <c r="BI251" s="151"/>
      <c r="BJ251" s="150" t="str">
        <f>IF([5]回答表!X48="●",[5]回答表!V418,IF([5]回答表!AA48="●",[5]回答表!V432,""))</f>
        <v/>
      </c>
      <c r="BK251" s="151"/>
      <c r="BL251" s="151"/>
      <c r="BM251" s="152"/>
      <c r="BN251" s="150" t="str">
        <f>IF([5]回答表!X48="●",[5]回答表!V419,IF([5]回答表!AA48="●",[5]回答表!V433,""))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IF([5]回答表!X48="●",[5]回答表!BC420,IF([5]回答表!AA48="●",[5]回答表!BC434,""))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IF([5]回答表!X48="●",[5]回答表!BC424,IF([5]回答表!AA48="●",[5]回答表!BC438,""))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IF([5]回答表!X48="●",[5]回答表!BC421,IF([5]回答表!AA48="●",[5]回答表!BC435,""))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IF([5]回答表!X48="●",[5]回答表!BC422,IF([5]回答表!AA48="●",[5]回答表!BC436,""))</f>
        <v/>
      </c>
      <c r="AR256" s="272"/>
      <c r="AS256" s="272"/>
      <c r="AT256" s="272"/>
      <c r="AU256" s="224" t="s">
        <v>79</v>
      </c>
      <c r="AV256" s="225"/>
      <c r="AW256" s="225"/>
      <c r="AX256" s="226"/>
      <c r="AY256" s="282" t="str">
        <f>IF([5]回答表!X48="●",[5]回答表!BC425,IF([5]回答表!AA48="●",[5]回答表!BC439,""))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IF([5]回答表!AD48="●","●","")</f>
        <v/>
      </c>
      <c r="O260" s="131"/>
      <c r="P260" s="131"/>
      <c r="Q260" s="132"/>
      <c r="R260" s="119"/>
      <c r="S260" s="119"/>
      <c r="T260" s="119"/>
      <c r="U260" s="133" t="str">
        <f>IF([5]回答表!AD48="●",[5]回答表!B439,"")</f>
        <v/>
      </c>
      <c r="V260" s="134"/>
      <c r="W260" s="134"/>
      <c r="X260" s="134"/>
      <c r="Y260" s="134"/>
      <c r="Z260" s="134"/>
      <c r="AA260" s="134"/>
      <c r="AB260" s="134"/>
      <c r="AC260" s="134"/>
      <c r="AD260" s="134"/>
      <c r="AE260" s="134"/>
      <c r="AF260" s="134"/>
      <c r="AG260" s="134"/>
      <c r="AH260" s="134"/>
      <c r="AI260" s="134"/>
      <c r="AJ260" s="135"/>
      <c r="AK260" s="183"/>
      <c r="AL260" s="183"/>
      <c r="AM260" s="133" t="str">
        <f>IF([5]回答表!AD48="●",[5]回答表!B445,"")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IF([5]回答表!X49="●","●","")</f>
        <v/>
      </c>
      <c r="O271" s="131"/>
      <c r="P271" s="131"/>
      <c r="Q271" s="132"/>
      <c r="R271" s="119"/>
      <c r="S271" s="119"/>
      <c r="T271" s="119"/>
      <c r="U271" s="133" t="str">
        <f>IF([5]回答表!X49="●",[5]回答表!B458,IF([5]回答表!AA49="●",[5]回答表!B475,""))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IF([5]回答表!X49="●",[5]回答表!B468,IF([5]回答表!AA49="●",[5]回答表!B485,""))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IF([5]回答表!X49="●",[5]回答表!G464,IF([5]回答表!AA49="●",[5]回答表!G481,""))</f>
        <v/>
      </c>
      <c r="AN273" s="83"/>
      <c r="AO273" s="83"/>
      <c r="AP273" s="83"/>
      <c r="AQ273" s="83"/>
      <c r="AR273" s="83"/>
      <c r="AS273" s="83"/>
      <c r="AT273" s="153"/>
      <c r="AU273" s="82" t="str">
        <f>IF([5]回答表!X49="●",[5]回答表!G465,IF([5]回答表!AA49="●",[5]回答表!G482,""))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IF([5]回答表!X49="●",[5]回答表!E468,IF([5]回答表!AA49="●",[5]回答表!E485,""))</f>
        <v/>
      </c>
      <c r="BG274" s="151"/>
      <c r="BH274" s="151"/>
      <c r="BI274" s="151"/>
      <c r="BJ274" s="150" t="str">
        <f>IF([5]回答表!X49="●",[5]回答表!E469,IF([5]回答表!AA49="●",[5]回答表!E486,""))</f>
        <v/>
      </c>
      <c r="BK274" s="151"/>
      <c r="BL274" s="151"/>
      <c r="BM274" s="152"/>
      <c r="BN274" s="150" t="str">
        <f>IF([5]回答表!X49="●",[5]回答表!E470,IF([5]回答表!AA49="●",[5]回答表!E487,""))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IF([5]回答表!AD49="●","●","")</f>
        <v/>
      </c>
      <c r="O283" s="131"/>
      <c r="P283" s="131"/>
      <c r="Q283" s="132"/>
      <c r="R283" s="119"/>
      <c r="S283" s="119"/>
      <c r="T283" s="119"/>
      <c r="U283" s="133" t="str">
        <f>IF([5]回答表!AD49="●",[5]回答表!B492,"")</f>
        <v/>
      </c>
      <c r="V283" s="134"/>
      <c r="W283" s="134"/>
      <c r="X283" s="134"/>
      <c r="Y283" s="134"/>
      <c r="Z283" s="134"/>
      <c r="AA283" s="134"/>
      <c r="AB283" s="134"/>
      <c r="AC283" s="134"/>
      <c r="AD283" s="134"/>
      <c r="AE283" s="134"/>
      <c r="AF283" s="134"/>
      <c r="AG283" s="134"/>
      <c r="AH283" s="134"/>
      <c r="AI283" s="134"/>
      <c r="AJ283" s="135"/>
      <c r="AK283" s="136"/>
      <c r="AL283" s="136"/>
      <c r="AM283" s="133" t="str">
        <f>IF([5]回答表!AD49="●",[5]回答表!B498,"")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IF([5]回答表!R50="●",[5]回答表!B511,"")</f>
        <v>　民営化や民間活用等については、知見やノウハウの不足により検討まで至らなく、広域化については、地形的な問題等を抱えており、資本的な面でも今後の人口減少等から収入の減が見込まれている中での実施は現実的ではないと思われます。</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9" priority="2">
      <formula>$BB$25="○"</formula>
    </cfRule>
  </conditionalFormatting>
  <conditionalFormatting sqref="BD28:BD30">
    <cfRule type="expression" dxfId="1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68407-06D3-4687-851A-859282EA1C3B}">
  <sheetPr>
    <pageSetUpPr fitToPage="1"/>
  </sheetPr>
  <dimension ref="A1:CN315"/>
  <sheetViews>
    <sheetView showZeros="0" view="pageBreakPreview" zoomScale="60" zoomScaleNormal="55" workbookViewId="0">
      <selection activeCell="U36" sqref="U36:AJ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IF(COUNTIF([6]回答表!K15,"*")&gt;0,[6]回答表!K15,"")</f>
        <v>仙北市</v>
      </c>
      <c r="D11" s="8"/>
      <c r="E11" s="8"/>
      <c r="F11" s="8"/>
      <c r="G11" s="8"/>
      <c r="H11" s="8"/>
      <c r="I11" s="8"/>
      <c r="J11" s="8"/>
      <c r="K11" s="8"/>
      <c r="L11" s="8"/>
      <c r="M11" s="8"/>
      <c r="N11" s="8"/>
      <c r="O11" s="8"/>
      <c r="P11" s="8"/>
      <c r="Q11" s="8"/>
      <c r="R11" s="8"/>
      <c r="S11" s="8"/>
      <c r="T11" s="8"/>
      <c r="U11" s="22" t="str">
        <f>IF(COUNTIF([6]回答表!F17,"*")&gt;0,[6]回答表!F17,"")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IF(COUNTIF([6]回答表!W17,"*")&gt;0,[6]回答表!W17,"")</f>
        <v>農業集落排水施設</v>
      </c>
      <c r="AP11" s="10"/>
      <c r="AQ11" s="10"/>
      <c r="AR11" s="10"/>
      <c r="AS11" s="10"/>
      <c r="AT11" s="10"/>
      <c r="AU11" s="10"/>
      <c r="AV11" s="10"/>
      <c r="AW11" s="10"/>
      <c r="AX11" s="10"/>
      <c r="AY11" s="10"/>
      <c r="AZ11" s="10"/>
      <c r="BA11" s="10"/>
      <c r="BB11" s="10"/>
      <c r="BC11" s="10"/>
      <c r="BD11" s="10"/>
      <c r="BE11" s="10"/>
      <c r="BF11" s="11"/>
      <c r="BG11" s="21" t="str">
        <f>IF(COUNTIF([6]回答表!F19,"*")&gt;0,[6]回答表!F19,"")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IF([6]回答表!R43="●","●","")</f>
        <v/>
      </c>
      <c r="E24" s="80"/>
      <c r="F24" s="80"/>
      <c r="G24" s="80"/>
      <c r="H24" s="80"/>
      <c r="I24" s="80"/>
      <c r="J24" s="81"/>
      <c r="K24" s="79" t="str">
        <f>IF([6]回答表!R44="●","●","")</f>
        <v/>
      </c>
      <c r="L24" s="80"/>
      <c r="M24" s="80"/>
      <c r="N24" s="80"/>
      <c r="O24" s="80"/>
      <c r="P24" s="80"/>
      <c r="Q24" s="81"/>
      <c r="R24" s="79" t="str">
        <f>IF([6]回答表!R45="●","●","")</f>
        <v>●</v>
      </c>
      <c r="S24" s="80"/>
      <c r="T24" s="80"/>
      <c r="U24" s="80"/>
      <c r="V24" s="80"/>
      <c r="W24" s="80"/>
      <c r="X24" s="81"/>
      <c r="Y24" s="79" t="str">
        <f>IF([6]回答表!R46="●","●","")</f>
        <v/>
      </c>
      <c r="Z24" s="80"/>
      <c r="AA24" s="80"/>
      <c r="AB24" s="80"/>
      <c r="AC24" s="80"/>
      <c r="AD24" s="80"/>
      <c r="AE24" s="81"/>
      <c r="AF24" s="79" t="str">
        <f>IF([6]回答表!R47="●","●","")</f>
        <v/>
      </c>
      <c r="AG24" s="80"/>
      <c r="AH24" s="80"/>
      <c r="AI24" s="80"/>
      <c r="AJ24" s="80"/>
      <c r="AK24" s="80"/>
      <c r="AL24" s="81"/>
      <c r="AM24" s="79" t="str">
        <f>IF([6]回答表!R48="●","●","")</f>
        <v/>
      </c>
      <c r="AN24" s="80"/>
      <c r="AO24" s="80"/>
      <c r="AP24" s="80"/>
      <c r="AQ24" s="80"/>
      <c r="AR24" s="80"/>
      <c r="AS24" s="81"/>
      <c r="AT24" s="79" t="str">
        <f>IF([6]回答表!R49="●","●","")</f>
        <v/>
      </c>
      <c r="AU24" s="80"/>
      <c r="AV24" s="80"/>
      <c r="AW24" s="80"/>
      <c r="AX24" s="80"/>
      <c r="AY24" s="80"/>
      <c r="AZ24" s="81"/>
      <c r="BA24" s="68"/>
      <c r="BB24" s="82" t="str">
        <f>IF([6]回答表!R50="●","●","")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IF([6]回答表!X43="●","●","")</f>
        <v/>
      </c>
      <c r="O36" s="131"/>
      <c r="P36" s="131"/>
      <c r="Q36" s="132"/>
      <c r="R36" s="119"/>
      <c r="S36" s="119"/>
      <c r="T36" s="119"/>
      <c r="U36" s="133" t="str">
        <f>IF([6]回答表!X43="●",[6]回答表!B59,IF([6]回答表!AA43="●",[6]回答表!B79,""))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IF([6]回答表!X43="●",[6]回答表!S65,IF([6]回答表!AA43="●",[6]回答表!S85,""))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IF([6]回答表!X43="●",[6]回答表!G65,IF([6]回答表!AA43="●",[6]回答表!G85,""))</f>
        <v/>
      </c>
      <c r="AN38" s="83"/>
      <c r="AO38" s="83"/>
      <c r="AP38" s="83"/>
      <c r="AQ38" s="83"/>
      <c r="AR38" s="83"/>
      <c r="AS38" s="83"/>
      <c r="AT38" s="153"/>
      <c r="AU38" s="82" t="str">
        <f>IF([6]回答表!X43="●",[6]回答表!G66,IF([6]回答表!AA43="●",[6]回答表!G86,""))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IF([6]回答表!X43="●",[6]回答表!V65,IF([6]回答表!AA43="●",[6]回答表!V85,""))</f>
        <v/>
      </c>
      <c r="BG39" s="16"/>
      <c r="BH39" s="16"/>
      <c r="BI39" s="17"/>
      <c r="BJ39" s="150" t="str">
        <f>IF([6]回答表!X43="●",[6]回答表!V66,IF([6]回答表!AA43="●",[6]回答表!V86,""))</f>
        <v/>
      </c>
      <c r="BK39" s="16"/>
      <c r="BL39" s="16"/>
      <c r="BM39" s="17"/>
      <c r="BN39" s="150" t="str">
        <f>IF([6]回答表!X43="●",[6]回答表!V67,IF([6]回答表!AA43="●",[6]回答表!V87,""))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IF([6]回答表!X43="●",[6]回答表!O71,IF([6]回答表!AA43="●",[6]回答表!O91,""))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IF([6]回答表!X43="●",[6]回答表!O72,IF([6]回答表!AA43="●",[6]回答表!O92,""))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IF([6]回答表!AA43="●","●","")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IF([6]回答表!X43="●",[6]回答表!O73,IF([6]回答表!AA43="●",[6]回答表!O93,""))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IF([6]回答表!X43="●",[6]回答表!O74,IF([6]回答表!AA43="●",[6]回答表!O94,""))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IF([6]回答表!X43="●",[6]回答表!AG71,IF([6]回答表!AA43="●",[6]回答表!AG91,""))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IF([6]回答表!X43="●",[6]回答表!AG72,IF([6]回答表!AA43="●",[6]回答表!AG92,""))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IF([6]回答表!AD43="●","●","")</f>
        <v/>
      </c>
      <c r="O51" s="131"/>
      <c r="P51" s="131"/>
      <c r="Q51" s="132"/>
      <c r="R51" s="119"/>
      <c r="S51" s="119"/>
      <c r="T51" s="119"/>
      <c r="U51" s="133" t="str">
        <f>IF([6]回答表!AD43="●",[6]回答表!B99,"")</f>
        <v/>
      </c>
      <c r="V51" s="134"/>
      <c r="W51" s="134"/>
      <c r="X51" s="134"/>
      <c r="Y51" s="134"/>
      <c r="Z51" s="134"/>
      <c r="AA51" s="134"/>
      <c r="AB51" s="134"/>
      <c r="AC51" s="134"/>
      <c r="AD51" s="134"/>
      <c r="AE51" s="134"/>
      <c r="AF51" s="134"/>
      <c r="AG51" s="134"/>
      <c r="AH51" s="134"/>
      <c r="AI51" s="134"/>
      <c r="AJ51" s="135"/>
      <c r="AK51" s="183"/>
      <c r="AL51" s="183"/>
      <c r="AM51" s="133" t="str">
        <f>IF([6]回答表!AD43="●",[6]回答表!B104,"")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IF([6]回答表!X44="●","●","")</f>
        <v/>
      </c>
      <c r="O62" s="131"/>
      <c r="P62" s="131"/>
      <c r="Q62" s="132"/>
      <c r="R62" s="119"/>
      <c r="S62" s="119"/>
      <c r="T62" s="119"/>
      <c r="U62" s="133" t="str">
        <f>IF([6]回答表!X44="●",[6]回答表!B115,IF([6]回答表!AA44="●",[6]回答表!B127,""))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IF([6]回答表!X44="●",[6]回答表!S121,IF([6]回答表!AA44="●",[6]回答表!S133,""))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IF([6]回答表!X44="●",[6]回答表!J121,IF([6]回答表!AA44="●",[6]回答表!J133,""))</f>
        <v/>
      </c>
      <c r="AN65" s="83"/>
      <c r="AO65" s="83"/>
      <c r="AP65" s="83"/>
      <c r="AQ65" s="83"/>
      <c r="AR65" s="83"/>
      <c r="AS65" s="83"/>
      <c r="AT65" s="153"/>
      <c r="AU65" s="82" t="str">
        <f>IF([6]回答表!X44="●",[6]回答表!J122,IF([6]回答表!AA44="●",[6]回答表!J134,""))</f>
        <v/>
      </c>
      <c r="AV65" s="83"/>
      <c r="AW65" s="83"/>
      <c r="AX65" s="83"/>
      <c r="AY65" s="83"/>
      <c r="AZ65" s="83"/>
      <c r="BA65" s="83"/>
      <c r="BB65" s="153"/>
      <c r="BC65" s="120"/>
      <c r="BD65" s="109"/>
      <c r="BE65" s="109"/>
      <c r="BF65" s="150" t="str">
        <f>IF([6]回答表!X44="●",[6]回答表!V121,IF([6]回答表!AA44="●",[6]回答表!V133,""))</f>
        <v/>
      </c>
      <c r="BG65" s="151"/>
      <c r="BH65" s="151"/>
      <c r="BI65" s="151"/>
      <c r="BJ65" s="150" t="str">
        <f>IF([6]回答表!X44="●",[6]回答表!V122,IF([6]回答表!AA44="●",[6]回答表!V134,""))</f>
        <v/>
      </c>
      <c r="BK65" s="151"/>
      <c r="BL65" s="151"/>
      <c r="BM65" s="151"/>
      <c r="BN65" s="150" t="str">
        <f>IF([6]回答表!X44="●",[6]回答表!V123,IF([6]回答表!AA44="●",[6]回答表!V135,""))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IF([6]回答表!AA44="●","●","")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IF([6]回答表!AD44="●","●","")</f>
        <v/>
      </c>
      <c r="O74" s="131"/>
      <c r="P74" s="131"/>
      <c r="Q74" s="132"/>
      <c r="R74" s="119"/>
      <c r="S74" s="119"/>
      <c r="T74" s="119"/>
      <c r="U74" s="133" t="str">
        <f>IF([6]回答表!AD44="●",[6]回答表!B140,"")</f>
        <v/>
      </c>
      <c r="V74" s="134"/>
      <c r="W74" s="134"/>
      <c r="X74" s="134"/>
      <c r="Y74" s="134"/>
      <c r="Z74" s="134"/>
      <c r="AA74" s="134"/>
      <c r="AB74" s="134"/>
      <c r="AC74" s="134"/>
      <c r="AD74" s="134"/>
      <c r="AE74" s="134"/>
      <c r="AF74" s="134"/>
      <c r="AG74" s="134"/>
      <c r="AH74" s="134"/>
      <c r="AI74" s="134"/>
      <c r="AJ74" s="135"/>
      <c r="AK74" s="183"/>
      <c r="AL74" s="183"/>
      <c r="AM74" s="133" t="str">
        <f>IF([6]回答表!AD44="●",[6]回答表!B146,"")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IF([6]回答表!F17="水道事業",IF([6]回答表!X45="●","●",""),"")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IF([6]回答表!F17="水道事業",IF([6]回答表!X45="●",[6]回答表!B158,IF([6]回答表!AA45="●",[6]回答表!B223,"")),"")</f>
        <v/>
      </c>
      <c r="AN86" s="201"/>
      <c r="AO86" s="201"/>
      <c r="AP86" s="201"/>
      <c r="AQ86" s="201"/>
      <c r="AR86" s="201"/>
      <c r="AS86" s="201"/>
      <c r="AT86" s="201"/>
      <c r="AU86" s="201"/>
      <c r="AV86" s="201"/>
      <c r="AW86" s="201"/>
      <c r="AX86" s="201"/>
      <c r="AY86" s="201"/>
      <c r="AZ86" s="201"/>
      <c r="BA86" s="201"/>
      <c r="BB86" s="201"/>
      <c r="BC86" s="202"/>
      <c r="BD86" s="109"/>
      <c r="BE86" s="109"/>
      <c r="BF86" s="138" t="str">
        <f>IF([6]回答表!F17="水道事業",IF([6]回答表!X45="●",[6]回答表!B212,IF([6]回答表!AA45="●",[6]回答表!B278,"")),"")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IF([6]回答表!F17="水道事業",IF([6]回答表!X45="●",[6]回答表!J166,IF([6]回答表!AA45="●",[6]回答表!J231,"")),"")</f>
        <v/>
      </c>
      <c r="V88" s="83"/>
      <c r="W88" s="83"/>
      <c r="X88" s="83"/>
      <c r="Y88" s="83"/>
      <c r="Z88" s="83"/>
      <c r="AA88" s="83"/>
      <c r="AB88" s="153"/>
      <c r="AC88" s="82" t="str">
        <f>IF([6]回答表!F17="水道事業",IF([6]回答表!X45="●",[6]回答表!J173,IF([6]回答表!AA45="●",[6]回答表!J238,"")),"")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IF([6]回答表!F17="水道事業",IF([6]回答表!X45="●",[6]回答表!E212,IF([6]回答表!AA45="●",[6]回答表!E278,"")),"")</f>
        <v/>
      </c>
      <c r="BG89" s="151"/>
      <c r="BH89" s="151"/>
      <c r="BI89" s="151"/>
      <c r="BJ89" s="150" t="str">
        <f>IF([6]回答表!F17="水道事業",IF([6]回答表!X45="●",[6]回答表!E213,IF([6]回答表!AA45="●",[6]回答表!E279,"")),"")</f>
        <v/>
      </c>
      <c r="BK89" s="151"/>
      <c r="BL89" s="151"/>
      <c r="BM89" s="151"/>
      <c r="BN89" s="150" t="str">
        <f>IF([6]回答表!F17="水道事業",IF([6]回答表!X45="●",[6]回答表!E214,IF([6]回答表!AA45="●",[6]回答表!E280,"")),"")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IF([6]回答表!F17="水道事業",IF([6]回答表!AA45="●","●",""),"")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IF([6]回答表!F17="水道事業",IF([6]回答表!X45="●",[6]回答表!J176,IF([6]回答表!AA45="●",[6]回答表!J241,"")),"")</f>
        <v/>
      </c>
      <c r="V93" s="83"/>
      <c r="W93" s="83"/>
      <c r="X93" s="83"/>
      <c r="Y93" s="83"/>
      <c r="Z93" s="83"/>
      <c r="AA93" s="83"/>
      <c r="AB93" s="153"/>
      <c r="AC93" s="82" t="str">
        <f>IF([6]回答表!F17="水道事業",IF([6]回答表!X45="●",[6]回答表!J180,IF([6]回答表!AA45="●",[6]回答表!J245,"")),"")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IF([6]回答表!F17="水道事業",IF([6]回答表!AD45="●","●",""),"")</f>
        <v/>
      </c>
      <c r="O98" s="131"/>
      <c r="P98" s="131"/>
      <c r="Q98" s="132"/>
      <c r="R98" s="119"/>
      <c r="S98" s="119"/>
      <c r="T98" s="119"/>
      <c r="U98" s="133" t="str">
        <f>IF([6]回答表!F17="水道事業",IF([6]回答表!AD45="●",[6]回答表!B289,""),"")</f>
        <v/>
      </c>
      <c r="V98" s="134"/>
      <c r="W98" s="134"/>
      <c r="X98" s="134"/>
      <c r="Y98" s="134"/>
      <c r="Z98" s="134"/>
      <c r="AA98" s="134"/>
      <c r="AB98" s="134"/>
      <c r="AC98" s="134"/>
      <c r="AD98" s="134"/>
      <c r="AE98" s="134"/>
      <c r="AF98" s="134"/>
      <c r="AG98" s="134"/>
      <c r="AH98" s="134"/>
      <c r="AI98" s="134"/>
      <c r="AJ98" s="135"/>
      <c r="AK98" s="183"/>
      <c r="AL98" s="183"/>
      <c r="AM98" s="133" t="str">
        <f>IF([6]回答表!F17="水道事業",IF([6]回答表!AD45="●",[6]回答表!B295,""),"")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IF([6]回答表!F17="簡易水道事業",IF([6]回答表!X45="●",[6]回答表!B158,IF([6]回答表!AA45="●",[6]回答表!B223,"")),"")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IF([6]回答表!F17="簡易水道事業",IF([6]回答表!X45="●",[6]回答表!B212,IF([6]回答表!AA45="●",[6]回答表!B278,"")),"")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IF([6]回答表!F17="簡易水道事業",IF([6]回答表!X45="●","●",""),"")</f>
        <v/>
      </c>
      <c r="O112" s="131"/>
      <c r="P112" s="131"/>
      <c r="Q112" s="132"/>
      <c r="R112" s="119"/>
      <c r="S112" s="119"/>
      <c r="T112" s="119"/>
      <c r="U112" s="82" t="str">
        <f>IF([6]回答表!F17="簡易水道事業",IF([6]回答表!X45="●",[6]回答表!Y185,IF([6]回答表!AA45="●",[6]回答表!Y251,"")),"")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IF([6]回答表!F17="簡易水道事業",IF([6]回答表!X45="●",[6]回答表!E212,IF([6]回答表!AA45="●",[6]回答表!E278,"")),"")</f>
        <v/>
      </c>
      <c r="BG113" s="151"/>
      <c r="BH113" s="151"/>
      <c r="BI113" s="151"/>
      <c r="BJ113" s="150" t="str">
        <f>IF([6]回答表!F17="簡易水道事業",IF([6]回答表!X45="●",[6]回答表!E213,IF([6]回答表!AA45="●",[6]回答表!E279,"")),"")</f>
        <v/>
      </c>
      <c r="BK113" s="151"/>
      <c r="BL113" s="151"/>
      <c r="BM113" s="151"/>
      <c r="BN113" s="150" t="str">
        <f>IF([6]回答表!F17="簡易水道事業",IF([6]回答表!X45="●",[6]回答表!E214,IF([6]回答表!AA45="●",[6]回答表!E280,"")),"")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IF([6]回答表!F17="簡易水道事業",IF([6]回答表!X45="●",[6]回答表!Y186,IF([6]回答表!AA45="●",[6]回答表!Y252,"")),"")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IF([6]回答表!F17="簡易水道事業",IF([6]回答表!AA45="●","●",""),"")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IF([6]回答表!F17="簡易水道事業",IF([6]回答表!X45="●",[6]回答表!Y187,IF([6]回答表!AA45="●",[6]回答表!Y253,"")),"")</f>
        <v/>
      </c>
      <c r="V122" s="83"/>
      <c r="W122" s="83"/>
      <c r="X122" s="83"/>
      <c r="Y122" s="83"/>
      <c r="Z122" s="83"/>
      <c r="AA122" s="83"/>
      <c r="AB122" s="83"/>
      <c r="AC122" s="83"/>
      <c r="AD122" s="83"/>
      <c r="AE122" s="83"/>
      <c r="AF122" s="83"/>
      <c r="AG122" s="83"/>
      <c r="AH122" s="83"/>
      <c r="AI122" s="83"/>
      <c r="AJ122" s="153"/>
      <c r="AK122" s="68"/>
      <c r="AL122" s="68"/>
      <c r="AM122" s="233" t="str">
        <f>IF([6]回答表!F17="簡易水道事業",IF([6]回答表!X45="●",[6]回答表!Y189,IF([6]回答表!AA45="●",[6]回答表!Y255,"")),"")</f>
        <v/>
      </c>
      <c r="AN122" s="233"/>
      <c r="AO122" s="233"/>
      <c r="AP122" s="233"/>
      <c r="AQ122" s="233"/>
      <c r="AR122" s="233"/>
      <c r="AS122" s="233" t="str">
        <f>IF([6]回答表!F17="簡易水道事業",IF([6]回答表!X45="●",[6]回答表!Y190,IF([6]回答表!AA45="●",[6]回答表!Y256,"")),"")</f>
        <v/>
      </c>
      <c r="AT122" s="233"/>
      <c r="AU122" s="233"/>
      <c r="AV122" s="233"/>
      <c r="AW122" s="233"/>
      <c r="AX122" s="233"/>
      <c r="AY122" s="233" t="str">
        <f>IF([6]回答表!F17="簡易水道事業",IF([6]回答表!X45="●",[6]回答表!Y191,IF([6]回答表!AA45="●",[6]回答表!Y257,"")),"")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IF([6]回答表!F17="簡易水道事業",IF([6]回答表!AD45="●","●",""),"")</f>
        <v/>
      </c>
      <c r="O127" s="131"/>
      <c r="P127" s="131"/>
      <c r="Q127" s="132"/>
      <c r="R127" s="119"/>
      <c r="S127" s="119"/>
      <c r="T127" s="119"/>
      <c r="U127" s="133" t="str">
        <f>IF([6]回答表!F17="簡易水道事業",IF([6]回答表!AD45="●",[6]回答表!B289,""),"")</f>
        <v/>
      </c>
      <c r="V127" s="134"/>
      <c r="W127" s="134"/>
      <c r="X127" s="134"/>
      <c r="Y127" s="134"/>
      <c r="Z127" s="134"/>
      <c r="AA127" s="134"/>
      <c r="AB127" s="134"/>
      <c r="AC127" s="134"/>
      <c r="AD127" s="134"/>
      <c r="AE127" s="134"/>
      <c r="AF127" s="134"/>
      <c r="AG127" s="134"/>
      <c r="AH127" s="134"/>
      <c r="AI127" s="134"/>
      <c r="AJ127" s="135"/>
      <c r="AK127" s="183"/>
      <c r="AL127" s="183"/>
      <c r="AM127" s="133" t="str">
        <f>IF([6]回答表!F17="簡易水道事業",IF([6]回答表!AD45="●",[6]回答表!B295,""),"")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IF([6]回答表!F17="下水道事業",IF([6]回答表!X45="●","●",""),"")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IF([6]回答表!F17="下水道事業",IF([6]回答表!X45="●",[6]回答表!B158,IF([6]回答表!AA45="●",[6]回答表!B223,"")),"")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IF([6]回答表!F17="下水道事業",IF([6]回答表!X45="●",[6]回答表!B212,IF([6]回答表!AA45="●",[6]回答表!B278,"")),"")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IF([6]回答表!F17="下水道事業",IF([6]回答表!X45="●",[6]回答表!Y193,IF([6]回答表!AA45="●",[6]回答表!Y259,"")),"")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IF([6]回答表!F17="下水道事業",IF([6]回答表!X45="●",[6]回答表!E212,IF([6]回答表!AA45="●",[6]回答表!E278,"")),"")</f>
        <v/>
      </c>
      <c r="BG142" s="151"/>
      <c r="BH142" s="151"/>
      <c r="BI142" s="151"/>
      <c r="BJ142" s="150" t="str">
        <f>IF([6]回答表!F17="下水道事業",IF([6]回答表!X45="●",[6]回答表!E213,IF([6]回答表!AA45="●",[6]回答表!E279,"")),"")</f>
        <v/>
      </c>
      <c r="BK142" s="151"/>
      <c r="BL142" s="151"/>
      <c r="BM142" s="151"/>
      <c r="BN142" s="150" t="str">
        <f>IF([6]回答表!F17="下水道事業",IF([6]回答表!X45="●",[6]回答表!E214,IF([6]回答表!AA45="●",[6]回答表!E280,"")),"")</f>
        <v/>
      </c>
      <c r="BO142" s="151"/>
      <c r="BP142" s="151"/>
      <c r="BQ142" s="152"/>
      <c r="BR142" s="112"/>
      <c r="BX142" s="200" t="str">
        <f>IF([6]回答表!AQ20="下水道事業",IF([6]回答表!BI48="○",[6]回答表!AM161,IF([6]回答表!BL48="○",[6]回答表!AM226,"")),"")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IF([6]回答表!F17="下水道事業",IF([6]回答表!X45="●",[6]回答表!Y195,IF([6]回答表!AA45="●",[6]回答表!Y261,"")),"")</f>
        <v/>
      </c>
      <c r="V147" s="83"/>
      <c r="W147" s="83"/>
      <c r="X147" s="83"/>
      <c r="Y147" s="83"/>
      <c r="Z147" s="83"/>
      <c r="AA147" s="83"/>
      <c r="AB147" s="153"/>
      <c r="AC147" s="82" t="str">
        <f>IF([6]回答表!F17="下水道事業",IF([6]回答表!X45="●",[6]回答表!Y196,IF([6]回答表!AA45="●",[6]回答表!Y262,"")),"")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IF([6]回答表!F17="下水道事業",IF([6]回答表!X45="●",[6]回答表!Y198,IF([6]回答表!AA45="●",[6]回答表!Y264,"")),"")</f>
        <v/>
      </c>
      <c r="V153" s="83"/>
      <c r="W153" s="83"/>
      <c r="X153" s="83"/>
      <c r="Y153" s="83"/>
      <c r="Z153" s="83"/>
      <c r="AA153" s="83"/>
      <c r="AB153" s="153"/>
      <c r="AC153" s="82" t="str">
        <f>IF([6]回答表!F17="下水道事業",IF([6]回答表!X45="●",[6]回答表!Y199,IF([6]回答表!AA45="●",[6]回答表!Y265,"")),"")</f>
        <v/>
      </c>
      <c r="AD153" s="83"/>
      <c r="AE153" s="83"/>
      <c r="AF153" s="83"/>
      <c r="AG153" s="83"/>
      <c r="AH153" s="83"/>
      <c r="AI153" s="83"/>
      <c r="AJ153" s="153"/>
      <c r="AK153" s="82" t="str">
        <f>IF([6]回答表!F17="下水道事業",IF([6]回答表!X45="●",[6]回答表!Y200,IF([6]回答表!AA45="●",[6]回答表!Y266,"")),"")</f>
        <v/>
      </c>
      <c r="AL153" s="83"/>
      <c r="AM153" s="83"/>
      <c r="AN153" s="83"/>
      <c r="AO153" s="83"/>
      <c r="AP153" s="83"/>
      <c r="AQ153" s="83"/>
      <c r="AR153" s="153"/>
      <c r="AS153" s="82" t="str">
        <f>IF([6]回答表!F17="下水道事業",IF([6]回答表!X45="●",[6]回答表!Y201,IF([6]回答表!AA45="●",[6]回答表!Y267,"")),"")</f>
        <v/>
      </c>
      <c r="AT153" s="83"/>
      <c r="AU153" s="83"/>
      <c r="AV153" s="83"/>
      <c r="AW153" s="83"/>
      <c r="AX153" s="83"/>
      <c r="AY153" s="83"/>
      <c r="AZ153" s="153"/>
      <c r="BA153" s="82" t="str">
        <f>IF([6]回答表!F17="下水道事業",IF([6]回答表!X45="●",[6]回答表!Y202,IF([6]回答表!AA45="●",[6]回答表!Y268,"")),"")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IF([6]回答表!F17="下水道事業",IF([6]回答表!AA45="●","●",""),"")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IF([6]回答表!F17="下水道事業",IF([6]回答表!X45="●",[6]回答表!Y207,IF([6]回答表!AA45="●",[6]回答表!Y273,"")),"")</f>
        <v/>
      </c>
      <c r="V159" s="83"/>
      <c r="W159" s="83"/>
      <c r="X159" s="83"/>
      <c r="Y159" s="83"/>
      <c r="Z159" s="83"/>
      <c r="AA159" s="83"/>
      <c r="AB159" s="153"/>
      <c r="AC159" s="82" t="str">
        <f>IF([6]回答表!F17="下水道事業",IF([6]回答表!X45="●",[6]回答表!Y208,IF([6]回答表!AA45="●",[6]回答表!Y274,"")),"")</f>
        <v/>
      </c>
      <c r="AD159" s="83"/>
      <c r="AE159" s="83"/>
      <c r="AF159" s="83"/>
      <c r="AG159" s="83"/>
      <c r="AH159" s="83"/>
      <c r="AI159" s="83"/>
      <c r="AJ159" s="153"/>
      <c r="AK159" s="82" t="str">
        <f>IF([6]回答表!F17="下水道事業",IF([6]回答表!X45="●",[6]回答表!Y209,IF([6]回答表!AA45="●",[6]回答表!Y275,"")),"")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IF([6]回答表!F17="下水道事業",IF([6]回答表!AD45="●","●",""),"")</f>
        <v>●</v>
      </c>
      <c r="O164" s="131"/>
      <c r="P164" s="131"/>
      <c r="Q164" s="132"/>
      <c r="R164" s="119"/>
      <c r="S164" s="119"/>
      <c r="T164" s="119"/>
      <c r="U164" s="133" t="str">
        <f>IF([6]回答表!F17="下水道事業",IF([6]回答表!AD45="●",[6]回答表!B289,""),"")</f>
        <v>　西木町西明寺地区の処理施設の統合を検討中。</v>
      </c>
      <c r="V164" s="134"/>
      <c r="W164" s="134"/>
      <c r="X164" s="134"/>
      <c r="Y164" s="134"/>
      <c r="Z164" s="134"/>
      <c r="AA164" s="134"/>
      <c r="AB164" s="134"/>
      <c r="AC164" s="134"/>
      <c r="AD164" s="134"/>
      <c r="AE164" s="134"/>
      <c r="AF164" s="134"/>
      <c r="AG164" s="134"/>
      <c r="AH164" s="134"/>
      <c r="AI164" s="134"/>
      <c r="AJ164" s="135"/>
      <c r="AK164" s="183"/>
      <c r="AL164" s="183"/>
      <c r="AM164" s="133" t="str">
        <f>IF([6]回答表!F17="下水道事業",IF([6]回答表!AD45="●",[6]回答表!B295,""),"")</f>
        <v>　処理施設の統廃合に係る資本費と経費回収率のバランスが課題となっている。</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IF([6]回答表!BD17="●",IF([6]回答表!X45="●","●",""),"")</f>
        <v/>
      </c>
      <c r="O176" s="131"/>
      <c r="P176" s="131"/>
      <c r="Q176" s="132"/>
      <c r="R176" s="119"/>
      <c r="S176" s="119"/>
      <c r="T176" s="119"/>
      <c r="U176" s="133" t="str">
        <f>IF([6]回答表!BD17="●",IF([6]回答表!X45="●",[6]回答表!B158,IF([6]回答表!AA45="●",[6]回答表!B223,"")),"")</f>
        <v/>
      </c>
      <c r="V176" s="134"/>
      <c r="W176" s="134"/>
      <c r="X176" s="134"/>
      <c r="Y176" s="134"/>
      <c r="Z176" s="134"/>
      <c r="AA176" s="134"/>
      <c r="AB176" s="134"/>
      <c r="AC176" s="134"/>
      <c r="AD176" s="134"/>
      <c r="AE176" s="134"/>
      <c r="AF176" s="134"/>
      <c r="AG176" s="134"/>
      <c r="AH176" s="134"/>
      <c r="AI176" s="134"/>
      <c r="AJ176" s="135"/>
      <c r="AK176" s="136"/>
      <c r="AL176" s="136"/>
      <c r="AM176" s="138" t="str">
        <f>IF([6]回答表!BD17="●",IF([6]回答表!X45="●",[6]回答表!B212,IF([6]回答表!AA45="●",[6]回答表!B278,"")),"")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IF([6]回答表!BD17="●",IF([6]回答表!X45="●",[6]回答表!E212,IF([6]回答表!AA45="●",[6]回答表!E278,"")),"")</f>
        <v/>
      </c>
      <c r="AN179" s="151"/>
      <c r="AO179" s="151"/>
      <c r="AP179" s="151"/>
      <c r="AQ179" s="150" t="str">
        <f>IF([6]回答表!BD17="●",IF([6]回答表!X45="●",[6]回答表!E213,IF([6]回答表!AA45="●",[6]回答表!E279,"")),"")</f>
        <v/>
      </c>
      <c r="AR179" s="151"/>
      <c r="AS179" s="151"/>
      <c r="AT179" s="151"/>
      <c r="AU179" s="150" t="str">
        <f>IF([6]回答表!BD17="●",IF([6]回答表!X45="●",[6]回答表!E214,IF([6]回答表!AA45="●",[6]回答表!E280,"")),"")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IF([6]回答表!BD17="●",IF([6]回答表!AA45="●","●",""),"")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IF([6]回答表!BD17="●",IF([6]回答表!AD45="●","●",""),"")</f>
        <v/>
      </c>
      <c r="O188" s="131"/>
      <c r="P188" s="131"/>
      <c r="Q188" s="132"/>
      <c r="R188" s="119"/>
      <c r="S188" s="119"/>
      <c r="T188" s="119"/>
      <c r="U188" s="133" t="str">
        <f>IF([6]回答表!BD17="●",IF([6]回答表!AD45="●",[6]回答表!B289,""),"")</f>
        <v/>
      </c>
      <c r="V188" s="134"/>
      <c r="W188" s="134"/>
      <c r="X188" s="134"/>
      <c r="Y188" s="134"/>
      <c r="Z188" s="134"/>
      <c r="AA188" s="134"/>
      <c r="AB188" s="134"/>
      <c r="AC188" s="134"/>
      <c r="AD188" s="134"/>
      <c r="AE188" s="134"/>
      <c r="AF188" s="134"/>
      <c r="AG188" s="134"/>
      <c r="AH188" s="134"/>
      <c r="AI188" s="134"/>
      <c r="AJ188" s="135"/>
      <c r="AK188" s="183"/>
      <c r="AL188" s="183"/>
      <c r="AM188" s="133" t="str">
        <f>IF([6]回答表!BD17="●",IF([6]回答表!AD45="●",[6]回答表!B295,""),"")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IF([6]回答表!X46="●","●","")</f>
        <v/>
      </c>
      <c r="O200" s="131"/>
      <c r="P200" s="131"/>
      <c r="Q200" s="132"/>
      <c r="R200" s="119"/>
      <c r="S200" s="119"/>
      <c r="T200" s="119"/>
      <c r="U200" s="133" t="str">
        <f>IF([6]回答表!X46="●",[6]回答表!B307,IF([6]回答表!AA46="●",[6]回答表!B324,""))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IF([6]回答表!X46="●",[6]回答表!U313,IF([6]回答表!AA46="●",[6]回答表!U330,""))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IF([6]回答表!X46="●",[6]回答表!G313,IF([6]回答表!AA46="●",[6]回答表!G330,""))</f>
        <v/>
      </c>
      <c r="AN203" s="83"/>
      <c r="AO203" s="83"/>
      <c r="AP203" s="83"/>
      <c r="AQ203" s="83"/>
      <c r="AR203" s="83"/>
      <c r="AS203" s="83"/>
      <c r="AT203" s="153"/>
      <c r="AU203" s="82" t="str">
        <f>IF([6]回答表!X46="●",[6]回答表!G314,IF([6]回答表!AA46="●",[6]回答表!G331,""))</f>
        <v/>
      </c>
      <c r="AV203" s="83"/>
      <c r="AW203" s="83"/>
      <c r="AX203" s="83"/>
      <c r="AY203" s="83"/>
      <c r="AZ203" s="83"/>
      <c r="BA203" s="83"/>
      <c r="BB203" s="153"/>
      <c r="BC203" s="120"/>
      <c r="BD203" s="109"/>
      <c r="BE203" s="109"/>
      <c r="BF203" s="150" t="str">
        <f>IF([6]回答表!X46="●",[6]回答表!X313,IF([6]回答表!AA46="●",[6]回答表!X330,""))</f>
        <v/>
      </c>
      <c r="BG203" s="151"/>
      <c r="BH203" s="151"/>
      <c r="BI203" s="151"/>
      <c r="BJ203" s="150" t="str">
        <f>IF([6]回答表!X46="●",[6]回答表!X314,IF([6]回答表!AA46="●",[6]回答表!X331,""))</f>
        <v/>
      </c>
      <c r="BK203" s="151"/>
      <c r="BL203" s="151"/>
      <c r="BM203" s="152"/>
      <c r="BN203" s="150" t="str">
        <f>IF([6]回答表!X46="●",[6]回答表!X315,IF([6]回答表!AA46="●",[6]回答表!X332,""))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IF([6]回答表!AA46="●","●","")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IF([6]回答表!AD46="●","●","")</f>
        <v/>
      </c>
      <c r="O212" s="131"/>
      <c r="P212" s="131"/>
      <c r="Q212" s="132"/>
      <c r="R212" s="119"/>
      <c r="S212" s="119"/>
      <c r="T212" s="119"/>
      <c r="U212" s="133" t="str">
        <f>IF([6]回答表!AD46="●",[6]回答表!B337,"")</f>
        <v/>
      </c>
      <c r="V212" s="134"/>
      <c r="W212" s="134"/>
      <c r="X212" s="134"/>
      <c r="Y212" s="134"/>
      <c r="Z212" s="134"/>
      <c r="AA212" s="134"/>
      <c r="AB212" s="134"/>
      <c r="AC212" s="134"/>
      <c r="AD212" s="134"/>
      <c r="AE212" s="134"/>
      <c r="AF212" s="134"/>
      <c r="AG212" s="134"/>
      <c r="AH212" s="134"/>
      <c r="AI212" s="134"/>
      <c r="AJ212" s="135"/>
      <c r="AK212" s="259"/>
      <c r="AL212" s="259"/>
      <c r="AM212" s="133" t="str">
        <f>IF([6]回答表!AD46="●",[6]回答表!B343,"")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IF([6]回答表!X47="●","●","")</f>
        <v/>
      </c>
      <c r="O224" s="131"/>
      <c r="P224" s="131"/>
      <c r="Q224" s="132"/>
      <c r="R224" s="119"/>
      <c r="S224" s="119"/>
      <c r="T224" s="119"/>
      <c r="U224" s="133" t="str">
        <f>IF([6]回答表!X47="●",[6]回答表!B356,IF([6]回答表!AA47="●",[6]回答表!B379,""))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IF([6]回答表!X47="●",[6]回答表!B362,"")</f>
        <v/>
      </c>
      <c r="AO224" s="263"/>
      <c r="AP224" s="263"/>
      <c r="AQ224" s="263"/>
      <c r="AR224" s="263"/>
      <c r="AS224" s="263"/>
      <c r="AT224" s="263"/>
      <c r="AU224" s="263"/>
      <c r="AV224" s="263"/>
      <c r="AW224" s="263"/>
      <c r="AX224" s="263"/>
      <c r="AY224" s="263"/>
      <c r="AZ224" s="263"/>
      <c r="BA224" s="263"/>
      <c r="BB224" s="264"/>
      <c r="BC224" s="120"/>
      <c r="BD224" s="109"/>
      <c r="BE224" s="109"/>
      <c r="BF224" s="138" t="str">
        <f>IF([6]回答表!X47="●",[6]回答表!B368,IF([6]回答表!AA47="●",[6]回答表!B385,""))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IF([6]回答表!X47="●",[6]回答表!E368,IF([6]回答表!AA47="●",[6]回答表!E385,""))</f>
        <v/>
      </c>
      <c r="BG227" s="151"/>
      <c r="BH227" s="151"/>
      <c r="BI227" s="151"/>
      <c r="BJ227" s="150" t="str">
        <f>IF([6]回答表!X47="●",[6]回答表!E369,IF([6]回答表!AA47="●",[6]回答表!E386,""))</f>
        <v/>
      </c>
      <c r="BK227" s="151"/>
      <c r="BL227" s="151"/>
      <c r="BM227" s="152"/>
      <c r="BN227" s="150" t="str">
        <f>IF([6]回答表!X47="●",[6]回答表!E370,IF([6]回答表!AA47="●",[6]回答表!E387,""))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IF([6]回答表!AA47="●","●","")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IF([6]回答表!AD47="●","●","")</f>
        <v/>
      </c>
      <c r="O236" s="131"/>
      <c r="P236" s="131"/>
      <c r="Q236" s="132"/>
      <c r="R236" s="119"/>
      <c r="S236" s="119"/>
      <c r="T236" s="119"/>
      <c r="U236" s="133" t="str">
        <f>IF([6]回答表!AD47="●",[6]回答表!B392,"")</f>
        <v/>
      </c>
      <c r="V236" s="134"/>
      <c r="W236" s="134"/>
      <c r="X236" s="134"/>
      <c r="Y236" s="134"/>
      <c r="Z236" s="134"/>
      <c r="AA236" s="134"/>
      <c r="AB236" s="134"/>
      <c r="AC236" s="134"/>
      <c r="AD236" s="134"/>
      <c r="AE236" s="134"/>
      <c r="AF236" s="134"/>
      <c r="AG236" s="134"/>
      <c r="AH236" s="134"/>
      <c r="AI236" s="134"/>
      <c r="AJ236" s="135"/>
      <c r="AK236" s="259"/>
      <c r="AL236" s="259"/>
      <c r="AM236" s="133" t="str">
        <f>IF([6]回答表!AD47="●",[6]回答表!B398,"")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IF([6]回答表!X48="●","●","")</f>
        <v/>
      </c>
      <c r="O248" s="131"/>
      <c r="P248" s="131"/>
      <c r="Q248" s="132"/>
      <c r="R248" s="119"/>
      <c r="S248" s="119"/>
      <c r="T248" s="119"/>
      <c r="U248" s="133" t="str">
        <f>IF([6]回答表!X48="●",[6]回答表!B411,IF([6]回答表!AA48="●",[6]回答表!B425,""))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IF([6]回答表!X48="●",[6]回答表!BC418,IF([6]回答表!AA48="●",[6]回答表!BC432,""))</f>
        <v/>
      </c>
      <c r="AR248" s="272"/>
      <c r="AS248" s="272"/>
      <c r="AT248" s="272"/>
      <c r="AU248" s="273" t="s">
        <v>73</v>
      </c>
      <c r="AV248" s="274"/>
      <c r="AW248" s="274"/>
      <c r="AX248" s="275"/>
      <c r="AY248" s="272" t="str">
        <f>IF([6]回答表!X48="●",[6]回答表!BC423,IF([6]回答表!AA48="●",[6]回答表!BC437,""))</f>
        <v/>
      </c>
      <c r="AZ248" s="272"/>
      <c r="BA248" s="272"/>
      <c r="BB248" s="272"/>
      <c r="BC248" s="120"/>
      <c r="BD248" s="109"/>
      <c r="BE248" s="109"/>
      <c r="BF248" s="138" t="str">
        <f>IF([6]回答表!X48="●",[6]回答表!S417,IF([6]回答表!AA48="●",[6]回答表!S431,""))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IF([6]回答表!X48="●",[6]回答表!BC419,IF([6]回答表!AA48="●",[6]回答表!BC433,""))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IF([6]回答表!X48="●",[6]回答表!V417,IF([6]回答表!AA48="●",[6]回答表!V431,""))</f>
        <v/>
      </c>
      <c r="BG251" s="151"/>
      <c r="BH251" s="151"/>
      <c r="BI251" s="151"/>
      <c r="BJ251" s="150" t="str">
        <f>IF([6]回答表!X48="●",[6]回答表!V418,IF([6]回答表!AA48="●",[6]回答表!V432,""))</f>
        <v/>
      </c>
      <c r="BK251" s="151"/>
      <c r="BL251" s="151"/>
      <c r="BM251" s="152"/>
      <c r="BN251" s="150" t="str">
        <f>IF([6]回答表!X48="●",[6]回答表!V419,IF([6]回答表!AA48="●",[6]回答表!V433,""))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IF([6]回答表!X48="●",[6]回答表!BC420,IF([6]回答表!AA48="●",[6]回答表!BC434,""))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IF([6]回答表!X48="●",[6]回答表!BC424,IF([6]回答表!AA48="●",[6]回答表!BC438,""))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IF([6]回答表!AA48="●","●","")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IF([6]回答表!X48="●",[6]回答表!BC421,IF([6]回答表!AA48="●",[6]回答表!BC435,""))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IF([6]回答表!X48="●",[6]回答表!BC422,IF([6]回答表!AA48="●",[6]回答表!BC436,""))</f>
        <v/>
      </c>
      <c r="AR256" s="272"/>
      <c r="AS256" s="272"/>
      <c r="AT256" s="272"/>
      <c r="AU256" s="224" t="s">
        <v>79</v>
      </c>
      <c r="AV256" s="225"/>
      <c r="AW256" s="225"/>
      <c r="AX256" s="226"/>
      <c r="AY256" s="282" t="str">
        <f>IF([6]回答表!X48="●",[6]回答表!BC425,IF([6]回答表!AA48="●",[6]回答表!BC439,""))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IF([6]回答表!AD48="●","●","")</f>
        <v/>
      </c>
      <c r="O260" s="131"/>
      <c r="P260" s="131"/>
      <c r="Q260" s="132"/>
      <c r="R260" s="119"/>
      <c r="S260" s="119"/>
      <c r="T260" s="119"/>
      <c r="U260" s="133" t="str">
        <f>IF([6]回答表!AD48="●",[6]回答表!B439,"")</f>
        <v/>
      </c>
      <c r="V260" s="134"/>
      <c r="W260" s="134"/>
      <c r="X260" s="134"/>
      <c r="Y260" s="134"/>
      <c r="Z260" s="134"/>
      <c r="AA260" s="134"/>
      <c r="AB260" s="134"/>
      <c r="AC260" s="134"/>
      <c r="AD260" s="134"/>
      <c r="AE260" s="134"/>
      <c r="AF260" s="134"/>
      <c r="AG260" s="134"/>
      <c r="AH260" s="134"/>
      <c r="AI260" s="134"/>
      <c r="AJ260" s="135"/>
      <c r="AK260" s="183"/>
      <c r="AL260" s="183"/>
      <c r="AM260" s="133" t="str">
        <f>IF([6]回答表!AD48="●",[6]回答表!B445,"")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IF([6]回答表!X49="●","●","")</f>
        <v/>
      </c>
      <c r="O271" s="131"/>
      <c r="P271" s="131"/>
      <c r="Q271" s="132"/>
      <c r="R271" s="119"/>
      <c r="S271" s="119"/>
      <c r="T271" s="119"/>
      <c r="U271" s="133" t="str">
        <f>IF([6]回答表!X49="●",[6]回答表!B458,IF([6]回答表!AA49="●",[6]回答表!B475,""))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IF([6]回答表!X49="●",[6]回答表!B468,IF([6]回答表!AA49="●",[6]回答表!B485,""))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IF([6]回答表!X49="●",[6]回答表!G464,IF([6]回答表!AA49="●",[6]回答表!G481,""))</f>
        <v/>
      </c>
      <c r="AN273" s="83"/>
      <c r="AO273" s="83"/>
      <c r="AP273" s="83"/>
      <c r="AQ273" s="83"/>
      <c r="AR273" s="83"/>
      <c r="AS273" s="83"/>
      <c r="AT273" s="153"/>
      <c r="AU273" s="82" t="str">
        <f>IF([6]回答表!X49="●",[6]回答表!G465,IF([6]回答表!AA49="●",[6]回答表!G482,""))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IF([6]回答表!X49="●",[6]回答表!E468,IF([6]回答表!AA49="●",[6]回答表!E485,""))</f>
        <v/>
      </c>
      <c r="BG274" s="151"/>
      <c r="BH274" s="151"/>
      <c r="BI274" s="151"/>
      <c r="BJ274" s="150" t="str">
        <f>IF([6]回答表!X49="●",[6]回答表!E469,IF([6]回答表!AA49="●",[6]回答表!E486,""))</f>
        <v/>
      </c>
      <c r="BK274" s="151"/>
      <c r="BL274" s="151"/>
      <c r="BM274" s="152"/>
      <c r="BN274" s="150" t="str">
        <f>IF([6]回答表!X49="●",[6]回答表!E470,IF([6]回答表!AA49="●",[6]回答表!E487,""))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IF([6]回答表!AA49="●","●","")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IF([6]回答表!AD49="●","●","")</f>
        <v/>
      </c>
      <c r="O283" s="131"/>
      <c r="P283" s="131"/>
      <c r="Q283" s="132"/>
      <c r="R283" s="119"/>
      <c r="S283" s="119"/>
      <c r="T283" s="119"/>
      <c r="U283" s="133" t="str">
        <f>IF([6]回答表!AD49="●",[6]回答表!B492,"")</f>
        <v/>
      </c>
      <c r="V283" s="134"/>
      <c r="W283" s="134"/>
      <c r="X283" s="134"/>
      <c r="Y283" s="134"/>
      <c r="Z283" s="134"/>
      <c r="AA283" s="134"/>
      <c r="AB283" s="134"/>
      <c r="AC283" s="134"/>
      <c r="AD283" s="134"/>
      <c r="AE283" s="134"/>
      <c r="AF283" s="134"/>
      <c r="AG283" s="134"/>
      <c r="AH283" s="134"/>
      <c r="AI283" s="134"/>
      <c r="AJ283" s="135"/>
      <c r="AK283" s="136"/>
      <c r="AL283" s="136"/>
      <c r="AM283" s="133" t="str">
        <f>IF([6]回答表!AD49="●",[6]回答表!B498,"")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IF([6]回答表!R50="●",[6]回答表!B511,"")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7" priority="2">
      <formula>$BB$25="○"</formula>
    </cfRule>
  </conditionalFormatting>
  <conditionalFormatting sqref="BD28:BD30">
    <cfRule type="expression" dxfId="1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370AE-9D0D-4083-9D8A-A362172CBDD3}">
  <sheetPr>
    <pageSetUpPr fitToPage="1"/>
  </sheetPr>
  <dimension ref="A1:CN315"/>
  <sheetViews>
    <sheetView showZeros="0" view="pageBreakPreview" zoomScale="60" zoomScaleNormal="55" workbookViewId="0">
      <selection activeCell="AY125" sqref="AY125"/>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IF(COUNTIF([7]回答表!K15,"*")&gt;0,[7]回答表!K15,"")</f>
        <v>仙北市</v>
      </c>
      <c r="D11" s="8"/>
      <c r="E11" s="8"/>
      <c r="F11" s="8"/>
      <c r="G11" s="8"/>
      <c r="H11" s="8"/>
      <c r="I11" s="8"/>
      <c r="J11" s="8"/>
      <c r="K11" s="8"/>
      <c r="L11" s="8"/>
      <c r="M11" s="8"/>
      <c r="N11" s="8"/>
      <c r="O11" s="8"/>
      <c r="P11" s="8"/>
      <c r="Q11" s="8"/>
      <c r="R11" s="8"/>
      <c r="S11" s="8"/>
      <c r="T11" s="8"/>
      <c r="U11" s="22" t="str">
        <f>IF(COUNTIF([7]回答表!F17,"*")&gt;0,[7]回答表!F17,"")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IF(COUNTIF([7]回答表!W17,"*")&gt;0,[7]回答表!W17,"")</f>
        <v>林業集落排水施設</v>
      </c>
      <c r="AP11" s="10"/>
      <c r="AQ11" s="10"/>
      <c r="AR11" s="10"/>
      <c r="AS11" s="10"/>
      <c r="AT11" s="10"/>
      <c r="AU11" s="10"/>
      <c r="AV11" s="10"/>
      <c r="AW11" s="10"/>
      <c r="AX11" s="10"/>
      <c r="AY11" s="10"/>
      <c r="AZ11" s="10"/>
      <c r="BA11" s="10"/>
      <c r="BB11" s="10"/>
      <c r="BC11" s="10"/>
      <c r="BD11" s="10"/>
      <c r="BE11" s="10"/>
      <c r="BF11" s="11"/>
      <c r="BG11" s="21" t="str">
        <f>IF(COUNTIF([7]回答表!F19,"*")&gt;0,[7]回答表!F19,"")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IF([7]回答表!R43="●","●","")</f>
        <v/>
      </c>
      <c r="E24" s="80"/>
      <c r="F24" s="80"/>
      <c r="G24" s="80"/>
      <c r="H24" s="80"/>
      <c r="I24" s="80"/>
      <c r="J24" s="81"/>
      <c r="K24" s="79" t="str">
        <f>IF([7]回答表!R44="●","●","")</f>
        <v/>
      </c>
      <c r="L24" s="80"/>
      <c r="M24" s="80"/>
      <c r="N24" s="80"/>
      <c r="O24" s="80"/>
      <c r="P24" s="80"/>
      <c r="Q24" s="81"/>
      <c r="R24" s="79" t="str">
        <f>IF([7]回答表!R45="●","●","")</f>
        <v/>
      </c>
      <c r="S24" s="80"/>
      <c r="T24" s="80"/>
      <c r="U24" s="80"/>
      <c r="V24" s="80"/>
      <c r="W24" s="80"/>
      <c r="X24" s="81"/>
      <c r="Y24" s="79" t="str">
        <f>IF([7]回答表!R46="●","●","")</f>
        <v/>
      </c>
      <c r="Z24" s="80"/>
      <c r="AA24" s="80"/>
      <c r="AB24" s="80"/>
      <c r="AC24" s="80"/>
      <c r="AD24" s="80"/>
      <c r="AE24" s="81"/>
      <c r="AF24" s="79" t="str">
        <f>IF([7]回答表!R47="●","●","")</f>
        <v/>
      </c>
      <c r="AG24" s="80"/>
      <c r="AH24" s="80"/>
      <c r="AI24" s="80"/>
      <c r="AJ24" s="80"/>
      <c r="AK24" s="80"/>
      <c r="AL24" s="81"/>
      <c r="AM24" s="79" t="str">
        <f>IF([7]回答表!R48="●","●","")</f>
        <v/>
      </c>
      <c r="AN24" s="80"/>
      <c r="AO24" s="80"/>
      <c r="AP24" s="80"/>
      <c r="AQ24" s="80"/>
      <c r="AR24" s="80"/>
      <c r="AS24" s="81"/>
      <c r="AT24" s="79" t="str">
        <f>IF([7]回答表!R49="●","●","")</f>
        <v/>
      </c>
      <c r="AU24" s="80"/>
      <c r="AV24" s="80"/>
      <c r="AW24" s="80"/>
      <c r="AX24" s="80"/>
      <c r="AY24" s="80"/>
      <c r="AZ24" s="81"/>
      <c r="BA24" s="68"/>
      <c r="BB24" s="82" t="str">
        <f>IF([7]回答表!R50="●","●","")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IF([7]回答表!X43="●","●","")</f>
        <v/>
      </c>
      <c r="O36" s="131"/>
      <c r="P36" s="131"/>
      <c r="Q36" s="132"/>
      <c r="R36" s="119"/>
      <c r="S36" s="119"/>
      <c r="T36" s="119"/>
      <c r="U36" s="133" t="str">
        <f>IF([7]回答表!X43="●",[7]回答表!B59,IF([7]回答表!AA43="●",[7]回答表!B79,""))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IF([7]回答表!X43="●",[7]回答表!S65,IF([7]回答表!AA43="●",[7]回答表!S85,""))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IF([7]回答表!X43="●",[7]回答表!G65,IF([7]回答表!AA43="●",[7]回答表!G85,""))</f>
        <v/>
      </c>
      <c r="AN38" s="83"/>
      <c r="AO38" s="83"/>
      <c r="AP38" s="83"/>
      <c r="AQ38" s="83"/>
      <c r="AR38" s="83"/>
      <c r="AS38" s="83"/>
      <c r="AT38" s="153"/>
      <c r="AU38" s="82" t="str">
        <f>IF([7]回答表!X43="●",[7]回答表!G66,IF([7]回答表!AA43="●",[7]回答表!G86,""))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IF([7]回答表!X43="●",[7]回答表!V65,IF([7]回答表!AA43="●",[7]回答表!V85,""))</f>
        <v/>
      </c>
      <c r="BG39" s="16"/>
      <c r="BH39" s="16"/>
      <c r="BI39" s="17"/>
      <c r="BJ39" s="150" t="str">
        <f>IF([7]回答表!X43="●",[7]回答表!V66,IF([7]回答表!AA43="●",[7]回答表!V86,""))</f>
        <v/>
      </c>
      <c r="BK39" s="16"/>
      <c r="BL39" s="16"/>
      <c r="BM39" s="17"/>
      <c r="BN39" s="150" t="str">
        <f>IF([7]回答表!X43="●",[7]回答表!V67,IF([7]回答表!AA43="●",[7]回答表!V87,""))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IF([7]回答表!X43="●",[7]回答表!O71,IF([7]回答表!AA43="●",[7]回答表!O91,""))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IF([7]回答表!X43="●",[7]回答表!O72,IF([7]回答表!AA43="●",[7]回答表!O92,""))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IF([7]回答表!AA43="●","●","")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IF([7]回答表!X43="●",[7]回答表!O73,IF([7]回答表!AA43="●",[7]回答表!O93,""))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IF([7]回答表!X43="●",[7]回答表!O74,IF([7]回答表!AA43="●",[7]回答表!O94,""))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IF([7]回答表!X43="●",[7]回答表!AG71,IF([7]回答表!AA43="●",[7]回答表!AG91,""))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IF([7]回答表!X43="●",[7]回答表!AG72,IF([7]回答表!AA43="●",[7]回答表!AG92,""))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IF([7]回答表!AD43="●","●","")</f>
        <v/>
      </c>
      <c r="O51" s="131"/>
      <c r="P51" s="131"/>
      <c r="Q51" s="132"/>
      <c r="R51" s="119"/>
      <c r="S51" s="119"/>
      <c r="T51" s="119"/>
      <c r="U51" s="133" t="str">
        <f>IF([7]回答表!AD43="●",[7]回答表!B99,"")</f>
        <v/>
      </c>
      <c r="V51" s="134"/>
      <c r="W51" s="134"/>
      <c r="X51" s="134"/>
      <c r="Y51" s="134"/>
      <c r="Z51" s="134"/>
      <c r="AA51" s="134"/>
      <c r="AB51" s="134"/>
      <c r="AC51" s="134"/>
      <c r="AD51" s="134"/>
      <c r="AE51" s="134"/>
      <c r="AF51" s="134"/>
      <c r="AG51" s="134"/>
      <c r="AH51" s="134"/>
      <c r="AI51" s="134"/>
      <c r="AJ51" s="135"/>
      <c r="AK51" s="183"/>
      <c r="AL51" s="183"/>
      <c r="AM51" s="133" t="str">
        <f>IF([7]回答表!AD43="●",[7]回答表!B104,"")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IF([7]回答表!X44="●","●","")</f>
        <v/>
      </c>
      <c r="O62" s="131"/>
      <c r="P62" s="131"/>
      <c r="Q62" s="132"/>
      <c r="R62" s="119"/>
      <c r="S62" s="119"/>
      <c r="T62" s="119"/>
      <c r="U62" s="133" t="str">
        <f>IF([7]回答表!X44="●",[7]回答表!B115,IF([7]回答表!AA44="●",[7]回答表!B127,""))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IF([7]回答表!X44="●",[7]回答表!S121,IF([7]回答表!AA44="●",[7]回答表!S133,""))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IF([7]回答表!X44="●",[7]回答表!J121,IF([7]回答表!AA44="●",[7]回答表!J133,""))</f>
        <v/>
      </c>
      <c r="AN65" s="83"/>
      <c r="AO65" s="83"/>
      <c r="AP65" s="83"/>
      <c r="AQ65" s="83"/>
      <c r="AR65" s="83"/>
      <c r="AS65" s="83"/>
      <c r="AT65" s="153"/>
      <c r="AU65" s="82" t="str">
        <f>IF([7]回答表!X44="●",[7]回答表!J122,IF([7]回答表!AA44="●",[7]回答表!J134,""))</f>
        <v/>
      </c>
      <c r="AV65" s="83"/>
      <c r="AW65" s="83"/>
      <c r="AX65" s="83"/>
      <c r="AY65" s="83"/>
      <c r="AZ65" s="83"/>
      <c r="BA65" s="83"/>
      <c r="BB65" s="153"/>
      <c r="BC65" s="120"/>
      <c r="BD65" s="109"/>
      <c r="BE65" s="109"/>
      <c r="BF65" s="150" t="str">
        <f>IF([7]回答表!X44="●",[7]回答表!V121,IF([7]回答表!AA44="●",[7]回答表!V133,""))</f>
        <v/>
      </c>
      <c r="BG65" s="151"/>
      <c r="BH65" s="151"/>
      <c r="BI65" s="151"/>
      <c r="BJ65" s="150" t="str">
        <f>IF([7]回答表!X44="●",[7]回答表!V122,IF([7]回答表!AA44="●",[7]回答表!V134,""))</f>
        <v/>
      </c>
      <c r="BK65" s="151"/>
      <c r="BL65" s="151"/>
      <c r="BM65" s="151"/>
      <c r="BN65" s="150" t="str">
        <f>IF([7]回答表!X44="●",[7]回答表!V123,IF([7]回答表!AA44="●",[7]回答表!V135,""))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IF([7]回答表!AA44="●","●","")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IF([7]回答表!AD44="●","●","")</f>
        <v/>
      </c>
      <c r="O74" s="131"/>
      <c r="P74" s="131"/>
      <c r="Q74" s="132"/>
      <c r="R74" s="119"/>
      <c r="S74" s="119"/>
      <c r="T74" s="119"/>
      <c r="U74" s="133" t="str">
        <f>IF([7]回答表!AD44="●",[7]回答表!B140,"")</f>
        <v/>
      </c>
      <c r="V74" s="134"/>
      <c r="W74" s="134"/>
      <c r="X74" s="134"/>
      <c r="Y74" s="134"/>
      <c r="Z74" s="134"/>
      <c r="AA74" s="134"/>
      <c r="AB74" s="134"/>
      <c r="AC74" s="134"/>
      <c r="AD74" s="134"/>
      <c r="AE74" s="134"/>
      <c r="AF74" s="134"/>
      <c r="AG74" s="134"/>
      <c r="AH74" s="134"/>
      <c r="AI74" s="134"/>
      <c r="AJ74" s="135"/>
      <c r="AK74" s="183"/>
      <c r="AL74" s="183"/>
      <c r="AM74" s="133" t="str">
        <f>IF([7]回答表!AD44="●",[7]回答表!B146,"")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IF([7]回答表!F17="水道事業",IF([7]回答表!X45="●","●",""),"")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IF([7]回答表!F17="水道事業",IF([7]回答表!X45="●",[7]回答表!B158,IF([7]回答表!AA45="●",[7]回答表!B223,"")),"")</f>
        <v/>
      </c>
      <c r="AN86" s="201"/>
      <c r="AO86" s="201"/>
      <c r="AP86" s="201"/>
      <c r="AQ86" s="201"/>
      <c r="AR86" s="201"/>
      <c r="AS86" s="201"/>
      <c r="AT86" s="201"/>
      <c r="AU86" s="201"/>
      <c r="AV86" s="201"/>
      <c r="AW86" s="201"/>
      <c r="AX86" s="201"/>
      <c r="AY86" s="201"/>
      <c r="AZ86" s="201"/>
      <c r="BA86" s="201"/>
      <c r="BB86" s="201"/>
      <c r="BC86" s="202"/>
      <c r="BD86" s="109"/>
      <c r="BE86" s="109"/>
      <c r="BF86" s="138" t="str">
        <f>IF([7]回答表!F17="水道事業",IF([7]回答表!X45="●",[7]回答表!B212,IF([7]回答表!AA45="●",[7]回答表!B278,"")),"")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IF([7]回答表!F17="水道事業",IF([7]回答表!X45="●",[7]回答表!J166,IF([7]回答表!AA45="●",[7]回答表!J231,"")),"")</f>
        <v/>
      </c>
      <c r="V88" s="83"/>
      <c r="W88" s="83"/>
      <c r="X88" s="83"/>
      <c r="Y88" s="83"/>
      <c r="Z88" s="83"/>
      <c r="AA88" s="83"/>
      <c r="AB88" s="153"/>
      <c r="AC88" s="82" t="str">
        <f>IF([7]回答表!F17="水道事業",IF([7]回答表!X45="●",[7]回答表!J173,IF([7]回答表!AA45="●",[7]回答表!J238,"")),"")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IF([7]回答表!F17="水道事業",IF([7]回答表!X45="●",[7]回答表!E212,IF([7]回答表!AA45="●",[7]回答表!E278,"")),"")</f>
        <v/>
      </c>
      <c r="BG89" s="151"/>
      <c r="BH89" s="151"/>
      <c r="BI89" s="151"/>
      <c r="BJ89" s="150" t="str">
        <f>IF([7]回答表!F17="水道事業",IF([7]回答表!X45="●",[7]回答表!E213,IF([7]回答表!AA45="●",[7]回答表!E279,"")),"")</f>
        <v/>
      </c>
      <c r="BK89" s="151"/>
      <c r="BL89" s="151"/>
      <c r="BM89" s="151"/>
      <c r="BN89" s="150" t="str">
        <f>IF([7]回答表!F17="水道事業",IF([7]回答表!X45="●",[7]回答表!E214,IF([7]回答表!AA45="●",[7]回答表!E280,"")),"")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IF([7]回答表!F17="水道事業",IF([7]回答表!AA45="●","●",""),"")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IF([7]回答表!F17="水道事業",IF([7]回答表!X45="●",[7]回答表!J176,IF([7]回答表!AA45="●",[7]回答表!J241,"")),"")</f>
        <v/>
      </c>
      <c r="V93" s="83"/>
      <c r="W93" s="83"/>
      <c r="X93" s="83"/>
      <c r="Y93" s="83"/>
      <c r="Z93" s="83"/>
      <c r="AA93" s="83"/>
      <c r="AB93" s="153"/>
      <c r="AC93" s="82" t="str">
        <f>IF([7]回答表!F17="水道事業",IF([7]回答表!X45="●",[7]回答表!J180,IF([7]回答表!AA45="●",[7]回答表!J245,"")),"")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IF([7]回答表!F17="水道事業",IF([7]回答表!AD45="●","●",""),"")</f>
        <v/>
      </c>
      <c r="O98" s="131"/>
      <c r="P98" s="131"/>
      <c r="Q98" s="132"/>
      <c r="R98" s="119"/>
      <c r="S98" s="119"/>
      <c r="T98" s="119"/>
      <c r="U98" s="133" t="str">
        <f>IF([7]回答表!F17="水道事業",IF([7]回答表!AD45="●",[7]回答表!B289,""),"")</f>
        <v/>
      </c>
      <c r="V98" s="134"/>
      <c r="W98" s="134"/>
      <c r="X98" s="134"/>
      <c r="Y98" s="134"/>
      <c r="Z98" s="134"/>
      <c r="AA98" s="134"/>
      <c r="AB98" s="134"/>
      <c r="AC98" s="134"/>
      <c r="AD98" s="134"/>
      <c r="AE98" s="134"/>
      <c r="AF98" s="134"/>
      <c r="AG98" s="134"/>
      <c r="AH98" s="134"/>
      <c r="AI98" s="134"/>
      <c r="AJ98" s="135"/>
      <c r="AK98" s="183"/>
      <c r="AL98" s="183"/>
      <c r="AM98" s="133" t="str">
        <f>IF([7]回答表!F17="水道事業",IF([7]回答表!AD45="●",[7]回答表!B295,""),"")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IF([7]回答表!F17="簡易水道事業",IF([7]回答表!X45="●",[7]回答表!B158,IF([7]回答表!AA45="●",[7]回答表!B223,"")),"")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IF([7]回答表!F17="簡易水道事業",IF([7]回答表!X45="●",[7]回答表!B212,IF([7]回答表!AA45="●",[7]回答表!B278,"")),"")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IF([7]回答表!F17="簡易水道事業",IF([7]回答表!X45="●","●",""),"")</f>
        <v/>
      </c>
      <c r="O112" s="131"/>
      <c r="P112" s="131"/>
      <c r="Q112" s="132"/>
      <c r="R112" s="119"/>
      <c r="S112" s="119"/>
      <c r="T112" s="119"/>
      <c r="U112" s="82" t="str">
        <f>IF([7]回答表!F17="簡易水道事業",IF([7]回答表!X45="●",[7]回答表!Y185,IF([7]回答表!AA45="●",[7]回答表!Y251,"")),"")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IF([7]回答表!F17="簡易水道事業",IF([7]回答表!X45="●",[7]回答表!E212,IF([7]回答表!AA45="●",[7]回答表!E278,"")),"")</f>
        <v/>
      </c>
      <c r="BG113" s="151"/>
      <c r="BH113" s="151"/>
      <c r="BI113" s="151"/>
      <c r="BJ113" s="150" t="str">
        <f>IF([7]回答表!F17="簡易水道事業",IF([7]回答表!X45="●",[7]回答表!E213,IF([7]回答表!AA45="●",[7]回答表!E279,"")),"")</f>
        <v/>
      </c>
      <c r="BK113" s="151"/>
      <c r="BL113" s="151"/>
      <c r="BM113" s="151"/>
      <c r="BN113" s="150" t="str">
        <f>IF([7]回答表!F17="簡易水道事業",IF([7]回答表!X45="●",[7]回答表!E214,IF([7]回答表!AA45="●",[7]回答表!E280,"")),"")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IF([7]回答表!F17="簡易水道事業",IF([7]回答表!X45="●",[7]回答表!Y186,IF([7]回答表!AA45="●",[7]回答表!Y252,"")),"")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IF([7]回答表!F17="簡易水道事業",IF([7]回答表!AA45="●","●",""),"")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IF([7]回答表!F17="簡易水道事業",IF([7]回答表!X45="●",[7]回答表!Y187,IF([7]回答表!AA45="●",[7]回答表!Y253,"")),"")</f>
        <v/>
      </c>
      <c r="V122" s="83"/>
      <c r="W122" s="83"/>
      <c r="X122" s="83"/>
      <c r="Y122" s="83"/>
      <c r="Z122" s="83"/>
      <c r="AA122" s="83"/>
      <c r="AB122" s="83"/>
      <c r="AC122" s="83"/>
      <c r="AD122" s="83"/>
      <c r="AE122" s="83"/>
      <c r="AF122" s="83"/>
      <c r="AG122" s="83"/>
      <c r="AH122" s="83"/>
      <c r="AI122" s="83"/>
      <c r="AJ122" s="153"/>
      <c r="AK122" s="68"/>
      <c r="AL122" s="68"/>
      <c r="AM122" s="233" t="str">
        <f>IF([7]回答表!F17="簡易水道事業",IF([7]回答表!X45="●",[7]回答表!Y189,IF([7]回答表!AA45="●",[7]回答表!Y255,"")),"")</f>
        <v/>
      </c>
      <c r="AN122" s="233"/>
      <c r="AO122" s="233"/>
      <c r="AP122" s="233"/>
      <c r="AQ122" s="233"/>
      <c r="AR122" s="233"/>
      <c r="AS122" s="233" t="str">
        <f>IF([7]回答表!F17="簡易水道事業",IF([7]回答表!X45="●",[7]回答表!Y190,IF([7]回答表!AA45="●",[7]回答表!Y256,"")),"")</f>
        <v/>
      </c>
      <c r="AT122" s="233"/>
      <c r="AU122" s="233"/>
      <c r="AV122" s="233"/>
      <c r="AW122" s="233"/>
      <c r="AX122" s="233"/>
      <c r="AY122" s="233" t="str">
        <f>IF([7]回答表!F17="簡易水道事業",IF([7]回答表!X45="●",[7]回答表!Y191,IF([7]回答表!AA45="●",[7]回答表!Y257,"")),"")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IF([7]回答表!F17="簡易水道事業",IF([7]回答表!AD45="●","●",""),"")</f>
        <v/>
      </c>
      <c r="O127" s="131"/>
      <c r="P127" s="131"/>
      <c r="Q127" s="132"/>
      <c r="R127" s="119"/>
      <c r="S127" s="119"/>
      <c r="T127" s="119"/>
      <c r="U127" s="133" t="str">
        <f>IF([7]回答表!F17="簡易水道事業",IF([7]回答表!AD45="●",[7]回答表!B289,""),"")</f>
        <v/>
      </c>
      <c r="V127" s="134"/>
      <c r="W127" s="134"/>
      <c r="X127" s="134"/>
      <c r="Y127" s="134"/>
      <c r="Z127" s="134"/>
      <c r="AA127" s="134"/>
      <c r="AB127" s="134"/>
      <c r="AC127" s="134"/>
      <c r="AD127" s="134"/>
      <c r="AE127" s="134"/>
      <c r="AF127" s="134"/>
      <c r="AG127" s="134"/>
      <c r="AH127" s="134"/>
      <c r="AI127" s="134"/>
      <c r="AJ127" s="135"/>
      <c r="AK127" s="183"/>
      <c r="AL127" s="183"/>
      <c r="AM127" s="133" t="str">
        <f>IF([7]回答表!F17="簡易水道事業",IF([7]回答表!AD45="●",[7]回答表!B295,""),"")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IF([7]回答表!F17="下水道事業",IF([7]回答表!X45="●","●",""),"")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IF([7]回答表!F17="下水道事業",IF([7]回答表!X45="●",[7]回答表!B158,IF([7]回答表!AA45="●",[7]回答表!B223,"")),"")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IF([7]回答表!F17="下水道事業",IF([7]回答表!X45="●",[7]回答表!B212,IF([7]回答表!AA45="●",[7]回答表!B278,"")),"")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IF([7]回答表!F17="下水道事業",IF([7]回答表!X45="●",[7]回答表!Y193,IF([7]回答表!AA45="●",[7]回答表!Y259,"")),"")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IF([7]回答表!F17="下水道事業",IF([7]回答表!X45="●",[7]回答表!E212,IF([7]回答表!AA45="●",[7]回答表!E278,"")),"")</f>
        <v/>
      </c>
      <c r="BG142" s="151"/>
      <c r="BH142" s="151"/>
      <c r="BI142" s="151"/>
      <c r="BJ142" s="150" t="str">
        <f>IF([7]回答表!F17="下水道事業",IF([7]回答表!X45="●",[7]回答表!E213,IF([7]回答表!AA45="●",[7]回答表!E279,"")),"")</f>
        <v/>
      </c>
      <c r="BK142" s="151"/>
      <c r="BL142" s="151"/>
      <c r="BM142" s="151"/>
      <c r="BN142" s="150" t="str">
        <f>IF([7]回答表!F17="下水道事業",IF([7]回答表!X45="●",[7]回答表!E214,IF([7]回答表!AA45="●",[7]回答表!E280,"")),"")</f>
        <v/>
      </c>
      <c r="BO142" s="151"/>
      <c r="BP142" s="151"/>
      <c r="BQ142" s="152"/>
      <c r="BR142" s="112"/>
      <c r="BX142" s="200" t="str">
        <f>IF([7]回答表!AQ20="下水道事業",IF([7]回答表!BI48="○",[7]回答表!AM161,IF([7]回答表!BL48="○",[7]回答表!AM226,"")),"")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IF([7]回答表!F17="下水道事業",IF([7]回答表!X45="●",[7]回答表!Y195,IF([7]回答表!AA45="●",[7]回答表!Y261,"")),"")</f>
        <v/>
      </c>
      <c r="V147" s="83"/>
      <c r="W147" s="83"/>
      <c r="X147" s="83"/>
      <c r="Y147" s="83"/>
      <c r="Z147" s="83"/>
      <c r="AA147" s="83"/>
      <c r="AB147" s="153"/>
      <c r="AC147" s="82" t="str">
        <f>IF([7]回答表!F17="下水道事業",IF([7]回答表!X45="●",[7]回答表!Y196,IF([7]回答表!AA45="●",[7]回答表!Y262,"")),"")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IF([7]回答表!F17="下水道事業",IF([7]回答表!X45="●",[7]回答表!Y198,IF([7]回答表!AA45="●",[7]回答表!Y264,"")),"")</f>
        <v/>
      </c>
      <c r="V153" s="83"/>
      <c r="W153" s="83"/>
      <c r="X153" s="83"/>
      <c r="Y153" s="83"/>
      <c r="Z153" s="83"/>
      <c r="AA153" s="83"/>
      <c r="AB153" s="153"/>
      <c r="AC153" s="82" t="str">
        <f>IF([7]回答表!F17="下水道事業",IF([7]回答表!X45="●",[7]回答表!Y199,IF([7]回答表!AA45="●",[7]回答表!Y265,"")),"")</f>
        <v/>
      </c>
      <c r="AD153" s="83"/>
      <c r="AE153" s="83"/>
      <c r="AF153" s="83"/>
      <c r="AG153" s="83"/>
      <c r="AH153" s="83"/>
      <c r="AI153" s="83"/>
      <c r="AJ153" s="153"/>
      <c r="AK153" s="82" t="str">
        <f>IF([7]回答表!F17="下水道事業",IF([7]回答表!X45="●",[7]回答表!Y200,IF([7]回答表!AA45="●",[7]回答表!Y266,"")),"")</f>
        <v/>
      </c>
      <c r="AL153" s="83"/>
      <c r="AM153" s="83"/>
      <c r="AN153" s="83"/>
      <c r="AO153" s="83"/>
      <c r="AP153" s="83"/>
      <c r="AQ153" s="83"/>
      <c r="AR153" s="153"/>
      <c r="AS153" s="82" t="str">
        <f>IF([7]回答表!F17="下水道事業",IF([7]回答表!X45="●",[7]回答表!Y201,IF([7]回答表!AA45="●",[7]回答表!Y267,"")),"")</f>
        <v/>
      </c>
      <c r="AT153" s="83"/>
      <c r="AU153" s="83"/>
      <c r="AV153" s="83"/>
      <c r="AW153" s="83"/>
      <c r="AX153" s="83"/>
      <c r="AY153" s="83"/>
      <c r="AZ153" s="153"/>
      <c r="BA153" s="82" t="str">
        <f>IF([7]回答表!F17="下水道事業",IF([7]回答表!X45="●",[7]回答表!Y202,IF([7]回答表!AA45="●",[7]回答表!Y268,"")),"")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IF([7]回答表!F17="下水道事業",IF([7]回答表!AA45="●","●",""),"")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IF([7]回答表!F17="下水道事業",IF([7]回答表!X45="●",[7]回答表!Y207,IF([7]回答表!AA45="●",[7]回答表!Y273,"")),"")</f>
        <v/>
      </c>
      <c r="V159" s="83"/>
      <c r="W159" s="83"/>
      <c r="X159" s="83"/>
      <c r="Y159" s="83"/>
      <c r="Z159" s="83"/>
      <c r="AA159" s="83"/>
      <c r="AB159" s="153"/>
      <c r="AC159" s="82" t="str">
        <f>IF([7]回答表!F17="下水道事業",IF([7]回答表!X45="●",[7]回答表!Y208,IF([7]回答表!AA45="●",[7]回答表!Y274,"")),"")</f>
        <v/>
      </c>
      <c r="AD159" s="83"/>
      <c r="AE159" s="83"/>
      <c r="AF159" s="83"/>
      <c r="AG159" s="83"/>
      <c r="AH159" s="83"/>
      <c r="AI159" s="83"/>
      <c r="AJ159" s="153"/>
      <c r="AK159" s="82" t="str">
        <f>IF([7]回答表!F17="下水道事業",IF([7]回答表!X45="●",[7]回答表!Y209,IF([7]回答表!AA45="●",[7]回答表!Y275,"")),"")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IF([7]回答表!F17="下水道事業",IF([7]回答表!AD45="●","●",""),"")</f>
        <v/>
      </c>
      <c r="O164" s="131"/>
      <c r="P164" s="131"/>
      <c r="Q164" s="132"/>
      <c r="R164" s="119"/>
      <c r="S164" s="119"/>
      <c r="T164" s="119"/>
      <c r="U164" s="133" t="str">
        <f>IF([7]回答表!F17="下水道事業",IF([7]回答表!AD45="●",[7]回答表!B289,""),"")</f>
        <v/>
      </c>
      <c r="V164" s="134"/>
      <c r="W164" s="134"/>
      <c r="X164" s="134"/>
      <c r="Y164" s="134"/>
      <c r="Z164" s="134"/>
      <c r="AA164" s="134"/>
      <c r="AB164" s="134"/>
      <c r="AC164" s="134"/>
      <c r="AD164" s="134"/>
      <c r="AE164" s="134"/>
      <c r="AF164" s="134"/>
      <c r="AG164" s="134"/>
      <c r="AH164" s="134"/>
      <c r="AI164" s="134"/>
      <c r="AJ164" s="135"/>
      <c r="AK164" s="183"/>
      <c r="AL164" s="183"/>
      <c r="AM164" s="133" t="str">
        <f>IF([7]回答表!F17="下水道事業",IF([7]回答表!AD45="●",[7]回答表!B295,""),"")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IF([7]回答表!BD17="●",IF([7]回答表!X45="●","●",""),"")</f>
        <v/>
      </c>
      <c r="O176" s="131"/>
      <c r="P176" s="131"/>
      <c r="Q176" s="132"/>
      <c r="R176" s="119"/>
      <c r="S176" s="119"/>
      <c r="T176" s="119"/>
      <c r="U176" s="133" t="str">
        <f>IF([7]回答表!BD17="●",IF([7]回答表!X45="●",[7]回答表!B158,IF([7]回答表!AA45="●",[7]回答表!B223,"")),"")</f>
        <v/>
      </c>
      <c r="V176" s="134"/>
      <c r="W176" s="134"/>
      <c r="X176" s="134"/>
      <c r="Y176" s="134"/>
      <c r="Z176" s="134"/>
      <c r="AA176" s="134"/>
      <c r="AB176" s="134"/>
      <c r="AC176" s="134"/>
      <c r="AD176" s="134"/>
      <c r="AE176" s="134"/>
      <c r="AF176" s="134"/>
      <c r="AG176" s="134"/>
      <c r="AH176" s="134"/>
      <c r="AI176" s="134"/>
      <c r="AJ176" s="135"/>
      <c r="AK176" s="136"/>
      <c r="AL176" s="136"/>
      <c r="AM176" s="138" t="str">
        <f>IF([7]回答表!BD17="●",IF([7]回答表!X45="●",[7]回答表!B212,IF([7]回答表!AA45="●",[7]回答表!B278,"")),"")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IF([7]回答表!BD17="●",IF([7]回答表!X45="●",[7]回答表!E212,IF([7]回答表!AA45="●",[7]回答表!E278,"")),"")</f>
        <v/>
      </c>
      <c r="AN179" s="151"/>
      <c r="AO179" s="151"/>
      <c r="AP179" s="151"/>
      <c r="AQ179" s="150" t="str">
        <f>IF([7]回答表!BD17="●",IF([7]回答表!X45="●",[7]回答表!E213,IF([7]回答表!AA45="●",[7]回答表!E279,"")),"")</f>
        <v/>
      </c>
      <c r="AR179" s="151"/>
      <c r="AS179" s="151"/>
      <c r="AT179" s="151"/>
      <c r="AU179" s="150" t="str">
        <f>IF([7]回答表!BD17="●",IF([7]回答表!X45="●",[7]回答表!E214,IF([7]回答表!AA45="●",[7]回答表!E280,"")),"")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IF([7]回答表!BD17="●",IF([7]回答表!AA45="●","●",""),"")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IF([7]回答表!BD17="●",IF([7]回答表!AD45="●","●",""),"")</f>
        <v/>
      </c>
      <c r="O188" s="131"/>
      <c r="P188" s="131"/>
      <c r="Q188" s="132"/>
      <c r="R188" s="119"/>
      <c r="S188" s="119"/>
      <c r="T188" s="119"/>
      <c r="U188" s="133" t="str">
        <f>IF([7]回答表!BD17="●",IF([7]回答表!AD45="●",[7]回答表!B289,""),"")</f>
        <v/>
      </c>
      <c r="V188" s="134"/>
      <c r="W188" s="134"/>
      <c r="X188" s="134"/>
      <c r="Y188" s="134"/>
      <c r="Z188" s="134"/>
      <c r="AA188" s="134"/>
      <c r="AB188" s="134"/>
      <c r="AC188" s="134"/>
      <c r="AD188" s="134"/>
      <c r="AE188" s="134"/>
      <c r="AF188" s="134"/>
      <c r="AG188" s="134"/>
      <c r="AH188" s="134"/>
      <c r="AI188" s="134"/>
      <c r="AJ188" s="135"/>
      <c r="AK188" s="183"/>
      <c r="AL188" s="183"/>
      <c r="AM188" s="133" t="str">
        <f>IF([7]回答表!BD17="●",IF([7]回答表!AD45="●",[7]回答表!B295,""),"")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IF([7]回答表!X46="●","●","")</f>
        <v/>
      </c>
      <c r="O200" s="131"/>
      <c r="P200" s="131"/>
      <c r="Q200" s="132"/>
      <c r="R200" s="119"/>
      <c r="S200" s="119"/>
      <c r="T200" s="119"/>
      <c r="U200" s="133" t="str">
        <f>IF([7]回答表!X46="●",[7]回答表!B307,IF([7]回答表!AA46="●",[7]回答表!B324,""))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IF([7]回答表!X46="●",[7]回答表!U313,IF([7]回答表!AA46="●",[7]回答表!U330,""))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IF([7]回答表!X46="●",[7]回答表!G313,IF([7]回答表!AA46="●",[7]回答表!G330,""))</f>
        <v/>
      </c>
      <c r="AN203" s="83"/>
      <c r="AO203" s="83"/>
      <c r="AP203" s="83"/>
      <c r="AQ203" s="83"/>
      <c r="AR203" s="83"/>
      <c r="AS203" s="83"/>
      <c r="AT203" s="153"/>
      <c r="AU203" s="82" t="str">
        <f>IF([7]回答表!X46="●",[7]回答表!G314,IF([7]回答表!AA46="●",[7]回答表!G331,""))</f>
        <v/>
      </c>
      <c r="AV203" s="83"/>
      <c r="AW203" s="83"/>
      <c r="AX203" s="83"/>
      <c r="AY203" s="83"/>
      <c r="AZ203" s="83"/>
      <c r="BA203" s="83"/>
      <c r="BB203" s="153"/>
      <c r="BC203" s="120"/>
      <c r="BD203" s="109"/>
      <c r="BE203" s="109"/>
      <c r="BF203" s="150" t="str">
        <f>IF([7]回答表!X46="●",[7]回答表!X313,IF([7]回答表!AA46="●",[7]回答表!X330,""))</f>
        <v/>
      </c>
      <c r="BG203" s="151"/>
      <c r="BH203" s="151"/>
      <c r="BI203" s="151"/>
      <c r="BJ203" s="150" t="str">
        <f>IF([7]回答表!X46="●",[7]回答表!X314,IF([7]回答表!AA46="●",[7]回答表!X331,""))</f>
        <v/>
      </c>
      <c r="BK203" s="151"/>
      <c r="BL203" s="151"/>
      <c r="BM203" s="152"/>
      <c r="BN203" s="150" t="str">
        <f>IF([7]回答表!X46="●",[7]回答表!X315,IF([7]回答表!AA46="●",[7]回答表!X332,""))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IF([7]回答表!AA46="●","●","")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IF([7]回答表!AD46="●","●","")</f>
        <v/>
      </c>
      <c r="O212" s="131"/>
      <c r="P212" s="131"/>
      <c r="Q212" s="132"/>
      <c r="R212" s="119"/>
      <c r="S212" s="119"/>
      <c r="T212" s="119"/>
      <c r="U212" s="133" t="str">
        <f>IF([7]回答表!AD46="●",[7]回答表!B337,"")</f>
        <v/>
      </c>
      <c r="V212" s="134"/>
      <c r="W212" s="134"/>
      <c r="X212" s="134"/>
      <c r="Y212" s="134"/>
      <c r="Z212" s="134"/>
      <c r="AA212" s="134"/>
      <c r="AB212" s="134"/>
      <c r="AC212" s="134"/>
      <c r="AD212" s="134"/>
      <c r="AE212" s="134"/>
      <c r="AF212" s="134"/>
      <c r="AG212" s="134"/>
      <c r="AH212" s="134"/>
      <c r="AI212" s="134"/>
      <c r="AJ212" s="135"/>
      <c r="AK212" s="259"/>
      <c r="AL212" s="259"/>
      <c r="AM212" s="133" t="str">
        <f>IF([7]回答表!AD46="●",[7]回答表!B343,"")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IF([7]回答表!X47="●","●","")</f>
        <v/>
      </c>
      <c r="O224" s="131"/>
      <c r="P224" s="131"/>
      <c r="Q224" s="132"/>
      <c r="R224" s="119"/>
      <c r="S224" s="119"/>
      <c r="T224" s="119"/>
      <c r="U224" s="133" t="str">
        <f>IF([7]回答表!X47="●",[7]回答表!B356,IF([7]回答表!AA47="●",[7]回答表!B379,""))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IF([7]回答表!X47="●",[7]回答表!B362,"")</f>
        <v/>
      </c>
      <c r="AO224" s="263"/>
      <c r="AP224" s="263"/>
      <c r="AQ224" s="263"/>
      <c r="AR224" s="263"/>
      <c r="AS224" s="263"/>
      <c r="AT224" s="263"/>
      <c r="AU224" s="263"/>
      <c r="AV224" s="263"/>
      <c r="AW224" s="263"/>
      <c r="AX224" s="263"/>
      <c r="AY224" s="263"/>
      <c r="AZ224" s="263"/>
      <c r="BA224" s="263"/>
      <c r="BB224" s="264"/>
      <c r="BC224" s="120"/>
      <c r="BD224" s="109"/>
      <c r="BE224" s="109"/>
      <c r="BF224" s="138" t="str">
        <f>IF([7]回答表!X47="●",[7]回答表!B368,IF([7]回答表!AA47="●",[7]回答表!B385,""))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IF([7]回答表!X47="●",[7]回答表!E368,IF([7]回答表!AA47="●",[7]回答表!E385,""))</f>
        <v/>
      </c>
      <c r="BG227" s="151"/>
      <c r="BH227" s="151"/>
      <c r="BI227" s="151"/>
      <c r="BJ227" s="150" t="str">
        <f>IF([7]回答表!X47="●",[7]回答表!E369,IF([7]回答表!AA47="●",[7]回答表!E386,""))</f>
        <v/>
      </c>
      <c r="BK227" s="151"/>
      <c r="BL227" s="151"/>
      <c r="BM227" s="152"/>
      <c r="BN227" s="150" t="str">
        <f>IF([7]回答表!X47="●",[7]回答表!E370,IF([7]回答表!AA47="●",[7]回答表!E387,""))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IF([7]回答表!AA47="●","●","")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IF([7]回答表!AD47="●","●","")</f>
        <v/>
      </c>
      <c r="O236" s="131"/>
      <c r="P236" s="131"/>
      <c r="Q236" s="132"/>
      <c r="R236" s="119"/>
      <c r="S236" s="119"/>
      <c r="T236" s="119"/>
      <c r="U236" s="133" t="str">
        <f>IF([7]回答表!AD47="●",[7]回答表!B392,"")</f>
        <v/>
      </c>
      <c r="V236" s="134"/>
      <c r="W236" s="134"/>
      <c r="X236" s="134"/>
      <c r="Y236" s="134"/>
      <c r="Z236" s="134"/>
      <c r="AA236" s="134"/>
      <c r="AB236" s="134"/>
      <c r="AC236" s="134"/>
      <c r="AD236" s="134"/>
      <c r="AE236" s="134"/>
      <c r="AF236" s="134"/>
      <c r="AG236" s="134"/>
      <c r="AH236" s="134"/>
      <c r="AI236" s="134"/>
      <c r="AJ236" s="135"/>
      <c r="AK236" s="259"/>
      <c r="AL236" s="259"/>
      <c r="AM236" s="133" t="str">
        <f>IF([7]回答表!AD47="●",[7]回答表!B398,"")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IF([7]回答表!X48="●","●","")</f>
        <v/>
      </c>
      <c r="O248" s="131"/>
      <c r="P248" s="131"/>
      <c r="Q248" s="132"/>
      <c r="R248" s="119"/>
      <c r="S248" s="119"/>
      <c r="T248" s="119"/>
      <c r="U248" s="133" t="str">
        <f>IF([7]回答表!X48="●",[7]回答表!B411,IF([7]回答表!AA48="●",[7]回答表!B425,""))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IF([7]回答表!X48="●",[7]回答表!BC418,IF([7]回答表!AA48="●",[7]回答表!BC432,""))</f>
        <v/>
      </c>
      <c r="AR248" s="272"/>
      <c r="AS248" s="272"/>
      <c r="AT248" s="272"/>
      <c r="AU248" s="273" t="s">
        <v>73</v>
      </c>
      <c r="AV248" s="274"/>
      <c r="AW248" s="274"/>
      <c r="AX248" s="275"/>
      <c r="AY248" s="272" t="str">
        <f>IF([7]回答表!X48="●",[7]回答表!BC423,IF([7]回答表!AA48="●",[7]回答表!BC437,""))</f>
        <v/>
      </c>
      <c r="AZ248" s="272"/>
      <c r="BA248" s="272"/>
      <c r="BB248" s="272"/>
      <c r="BC248" s="120"/>
      <c r="BD248" s="109"/>
      <c r="BE248" s="109"/>
      <c r="BF248" s="138" t="str">
        <f>IF([7]回答表!X48="●",[7]回答表!S417,IF([7]回答表!AA48="●",[7]回答表!S431,""))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IF([7]回答表!X48="●",[7]回答表!BC419,IF([7]回答表!AA48="●",[7]回答表!BC433,""))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IF([7]回答表!X48="●",[7]回答表!V417,IF([7]回答表!AA48="●",[7]回答表!V431,""))</f>
        <v/>
      </c>
      <c r="BG251" s="151"/>
      <c r="BH251" s="151"/>
      <c r="BI251" s="151"/>
      <c r="BJ251" s="150" t="str">
        <f>IF([7]回答表!X48="●",[7]回答表!V418,IF([7]回答表!AA48="●",[7]回答表!V432,""))</f>
        <v/>
      </c>
      <c r="BK251" s="151"/>
      <c r="BL251" s="151"/>
      <c r="BM251" s="152"/>
      <c r="BN251" s="150" t="str">
        <f>IF([7]回答表!X48="●",[7]回答表!V419,IF([7]回答表!AA48="●",[7]回答表!V433,""))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IF([7]回答表!X48="●",[7]回答表!BC420,IF([7]回答表!AA48="●",[7]回答表!BC434,""))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IF([7]回答表!X48="●",[7]回答表!BC424,IF([7]回答表!AA48="●",[7]回答表!BC438,""))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IF([7]回答表!AA48="●","●","")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IF([7]回答表!X48="●",[7]回答表!BC421,IF([7]回答表!AA48="●",[7]回答表!BC435,""))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IF([7]回答表!X48="●",[7]回答表!BC422,IF([7]回答表!AA48="●",[7]回答表!BC436,""))</f>
        <v/>
      </c>
      <c r="AR256" s="272"/>
      <c r="AS256" s="272"/>
      <c r="AT256" s="272"/>
      <c r="AU256" s="224" t="s">
        <v>79</v>
      </c>
      <c r="AV256" s="225"/>
      <c r="AW256" s="225"/>
      <c r="AX256" s="226"/>
      <c r="AY256" s="282" t="str">
        <f>IF([7]回答表!X48="●",[7]回答表!BC425,IF([7]回答表!AA48="●",[7]回答表!BC439,""))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IF([7]回答表!AD48="●","●","")</f>
        <v/>
      </c>
      <c r="O260" s="131"/>
      <c r="P260" s="131"/>
      <c r="Q260" s="132"/>
      <c r="R260" s="119"/>
      <c r="S260" s="119"/>
      <c r="T260" s="119"/>
      <c r="U260" s="133" t="str">
        <f>IF([7]回答表!AD48="●",[7]回答表!B439,"")</f>
        <v/>
      </c>
      <c r="V260" s="134"/>
      <c r="W260" s="134"/>
      <c r="X260" s="134"/>
      <c r="Y260" s="134"/>
      <c r="Z260" s="134"/>
      <c r="AA260" s="134"/>
      <c r="AB260" s="134"/>
      <c r="AC260" s="134"/>
      <c r="AD260" s="134"/>
      <c r="AE260" s="134"/>
      <c r="AF260" s="134"/>
      <c r="AG260" s="134"/>
      <c r="AH260" s="134"/>
      <c r="AI260" s="134"/>
      <c r="AJ260" s="135"/>
      <c r="AK260" s="183"/>
      <c r="AL260" s="183"/>
      <c r="AM260" s="133" t="str">
        <f>IF([7]回答表!AD48="●",[7]回答表!B445,"")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IF([7]回答表!X49="●","●","")</f>
        <v/>
      </c>
      <c r="O271" s="131"/>
      <c r="P271" s="131"/>
      <c r="Q271" s="132"/>
      <c r="R271" s="119"/>
      <c r="S271" s="119"/>
      <c r="T271" s="119"/>
      <c r="U271" s="133" t="str">
        <f>IF([7]回答表!X49="●",[7]回答表!B458,IF([7]回答表!AA49="●",[7]回答表!B475,""))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IF([7]回答表!X49="●",[7]回答表!B468,IF([7]回答表!AA49="●",[7]回答表!B485,""))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IF([7]回答表!X49="●",[7]回答表!G464,IF([7]回答表!AA49="●",[7]回答表!G481,""))</f>
        <v/>
      </c>
      <c r="AN273" s="83"/>
      <c r="AO273" s="83"/>
      <c r="AP273" s="83"/>
      <c r="AQ273" s="83"/>
      <c r="AR273" s="83"/>
      <c r="AS273" s="83"/>
      <c r="AT273" s="153"/>
      <c r="AU273" s="82" t="str">
        <f>IF([7]回答表!X49="●",[7]回答表!G465,IF([7]回答表!AA49="●",[7]回答表!G482,""))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IF([7]回答表!X49="●",[7]回答表!E468,IF([7]回答表!AA49="●",[7]回答表!E485,""))</f>
        <v/>
      </c>
      <c r="BG274" s="151"/>
      <c r="BH274" s="151"/>
      <c r="BI274" s="151"/>
      <c r="BJ274" s="150" t="str">
        <f>IF([7]回答表!X49="●",[7]回答表!E469,IF([7]回答表!AA49="●",[7]回答表!E486,""))</f>
        <v/>
      </c>
      <c r="BK274" s="151"/>
      <c r="BL274" s="151"/>
      <c r="BM274" s="152"/>
      <c r="BN274" s="150" t="str">
        <f>IF([7]回答表!X49="●",[7]回答表!E470,IF([7]回答表!AA49="●",[7]回答表!E487,""))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IF([7]回答表!AA49="●","●","")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IF([7]回答表!AD49="●","●","")</f>
        <v/>
      </c>
      <c r="O283" s="131"/>
      <c r="P283" s="131"/>
      <c r="Q283" s="132"/>
      <c r="R283" s="119"/>
      <c r="S283" s="119"/>
      <c r="T283" s="119"/>
      <c r="U283" s="133" t="str">
        <f>IF([7]回答表!AD49="●",[7]回答表!B492,"")</f>
        <v/>
      </c>
      <c r="V283" s="134"/>
      <c r="W283" s="134"/>
      <c r="X283" s="134"/>
      <c r="Y283" s="134"/>
      <c r="Z283" s="134"/>
      <c r="AA283" s="134"/>
      <c r="AB283" s="134"/>
      <c r="AC283" s="134"/>
      <c r="AD283" s="134"/>
      <c r="AE283" s="134"/>
      <c r="AF283" s="134"/>
      <c r="AG283" s="134"/>
      <c r="AH283" s="134"/>
      <c r="AI283" s="134"/>
      <c r="AJ283" s="135"/>
      <c r="AK283" s="136"/>
      <c r="AL283" s="136"/>
      <c r="AM283" s="133" t="str">
        <f>IF([7]回答表!AD49="●",[7]回答表!B498,"")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IF([7]回答表!R50="●",[7]回答表!B511,"")</f>
        <v>　民営化や民間活用等については、知見やノウハウの不足により検討まで至らなく、広域化については、地形的な問題等を抱えており、資本的な面でも今後の人口減少等から収入の減が見込まれている中での実施は現実的ではないと思われます。</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5" priority="2">
      <formula>$BB$25="○"</formula>
    </cfRule>
  </conditionalFormatting>
  <conditionalFormatting sqref="BD28:BD30">
    <cfRule type="expression" dxfId="1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0A1A2-20A6-49C6-9CEB-A8EB22EA01CE}">
  <sheetPr>
    <pageSetUpPr fitToPage="1"/>
  </sheetPr>
  <dimension ref="A1:CN315"/>
  <sheetViews>
    <sheetView showZeros="0" view="pageBreakPreview" zoomScale="60" zoomScaleNormal="55" workbookViewId="0">
      <selection activeCell="BB29" sqref="BB29"/>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IF(COUNTIF([8]回答表!K15,"*")&gt;0,[8]回答表!K15,"")</f>
        <v>仙北市</v>
      </c>
      <c r="D11" s="8"/>
      <c r="E11" s="8"/>
      <c r="F11" s="8"/>
      <c r="G11" s="8"/>
      <c r="H11" s="8"/>
      <c r="I11" s="8"/>
      <c r="J11" s="8"/>
      <c r="K11" s="8"/>
      <c r="L11" s="8"/>
      <c r="M11" s="8"/>
      <c r="N11" s="8"/>
      <c r="O11" s="8"/>
      <c r="P11" s="8"/>
      <c r="Q11" s="8"/>
      <c r="R11" s="8"/>
      <c r="S11" s="8"/>
      <c r="T11" s="8"/>
      <c r="U11" s="22" t="str">
        <f>IF(COUNTIF([8]回答表!F17,"*")&gt;0,[8]回答表!F17,"")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IF(COUNTIF([8]回答表!W17,"*")&gt;0,[8]回答表!W17,"")</f>
        <v>特定地域排水処理施設</v>
      </c>
      <c r="AP11" s="10"/>
      <c r="AQ11" s="10"/>
      <c r="AR11" s="10"/>
      <c r="AS11" s="10"/>
      <c r="AT11" s="10"/>
      <c r="AU11" s="10"/>
      <c r="AV11" s="10"/>
      <c r="AW11" s="10"/>
      <c r="AX11" s="10"/>
      <c r="AY11" s="10"/>
      <c r="AZ11" s="10"/>
      <c r="BA11" s="10"/>
      <c r="BB11" s="10"/>
      <c r="BC11" s="10"/>
      <c r="BD11" s="10"/>
      <c r="BE11" s="10"/>
      <c r="BF11" s="11"/>
      <c r="BG11" s="21" t="str">
        <f>IF(COUNTIF([8]回答表!F19,"*")&gt;0,[8]回答表!F19,"")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IF([8]回答表!R43="●","●","")</f>
        <v/>
      </c>
      <c r="E24" s="80"/>
      <c r="F24" s="80"/>
      <c r="G24" s="80"/>
      <c r="H24" s="80"/>
      <c r="I24" s="80"/>
      <c r="J24" s="81"/>
      <c r="K24" s="79" t="str">
        <f>IF([8]回答表!R44="●","●","")</f>
        <v/>
      </c>
      <c r="L24" s="80"/>
      <c r="M24" s="80"/>
      <c r="N24" s="80"/>
      <c r="O24" s="80"/>
      <c r="P24" s="80"/>
      <c r="Q24" s="81"/>
      <c r="R24" s="79" t="str">
        <f>IF([8]回答表!R45="●","●","")</f>
        <v/>
      </c>
      <c r="S24" s="80"/>
      <c r="T24" s="80"/>
      <c r="U24" s="80"/>
      <c r="V24" s="80"/>
      <c r="W24" s="80"/>
      <c r="X24" s="81"/>
      <c r="Y24" s="79" t="str">
        <f>IF([8]回答表!R46="●","●","")</f>
        <v/>
      </c>
      <c r="Z24" s="80"/>
      <c r="AA24" s="80"/>
      <c r="AB24" s="80"/>
      <c r="AC24" s="80"/>
      <c r="AD24" s="80"/>
      <c r="AE24" s="81"/>
      <c r="AF24" s="79" t="str">
        <f>IF([8]回答表!R47="●","●","")</f>
        <v/>
      </c>
      <c r="AG24" s="80"/>
      <c r="AH24" s="80"/>
      <c r="AI24" s="80"/>
      <c r="AJ24" s="80"/>
      <c r="AK24" s="80"/>
      <c r="AL24" s="81"/>
      <c r="AM24" s="79" t="str">
        <f>IF([8]回答表!R48="●","●","")</f>
        <v/>
      </c>
      <c r="AN24" s="80"/>
      <c r="AO24" s="80"/>
      <c r="AP24" s="80"/>
      <c r="AQ24" s="80"/>
      <c r="AR24" s="80"/>
      <c r="AS24" s="81"/>
      <c r="AT24" s="79" t="str">
        <f>IF([8]回答表!R49="●","●","")</f>
        <v/>
      </c>
      <c r="AU24" s="80"/>
      <c r="AV24" s="80"/>
      <c r="AW24" s="80"/>
      <c r="AX24" s="80"/>
      <c r="AY24" s="80"/>
      <c r="AZ24" s="81"/>
      <c r="BA24" s="68"/>
      <c r="BB24" s="82" t="str">
        <f>IF([8]回答表!R50="●","●","")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IF([8]回答表!X43="●","●","")</f>
        <v/>
      </c>
      <c r="O36" s="131"/>
      <c r="P36" s="131"/>
      <c r="Q36" s="132"/>
      <c r="R36" s="119"/>
      <c r="S36" s="119"/>
      <c r="T36" s="119"/>
      <c r="U36" s="133" t="str">
        <f>IF([8]回答表!X43="●",[8]回答表!B59,IF([8]回答表!AA43="●",[8]回答表!B79,""))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IF([8]回答表!X43="●",[8]回答表!S65,IF([8]回答表!AA43="●",[8]回答表!S85,""))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IF([8]回答表!X43="●",[8]回答表!G65,IF([8]回答表!AA43="●",[8]回答表!G85,""))</f>
        <v/>
      </c>
      <c r="AN38" s="83"/>
      <c r="AO38" s="83"/>
      <c r="AP38" s="83"/>
      <c r="AQ38" s="83"/>
      <c r="AR38" s="83"/>
      <c r="AS38" s="83"/>
      <c r="AT38" s="153"/>
      <c r="AU38" s="82" t="str">
        <f>IF([8]回答表!X43="●",[8]回答表!G66,IF([8]回答表!AA43="●",[8]回答表!G86,""))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IF([8]回答表!X43="●",[8]回答表!V65,IF([8]回答表!AA43="●",[8]回答表!V85,""))</f>
        <v/>
      </c>
      <c r="BG39" s="16"/>
      <c r="BH39" s="16"/>
      <c r="BI39" s="17"/>
      <c r="BJ39" s="150" t="str">
        <f>IF([8]回答表!X43="●",[8]回答表!V66,IF([8]回答表!AA43="●",[8]回答表!V86,""))</f>
        <v/>
      </c>
      <c r="BK39" s="16"/>
      <c r="BL39" s="16"/>
      <c r="BM39" s="17"/>
      <c r="BN39" s="150" t="str">
        <f>IF([8]回答表!X43="●",[8]回答表!V67,IF([8]回答表!AA43="●",[8]回答表!V87,""))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IF([8]回答表!X43="●",[8]回答表!O71,IF([8]回答表!AA43="●",[8]回答表!O91,""))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IF([8]回答表!X43="●",[8]回答表!O72,IF([8]回答表!AA43="●",[8]回答表!O92,""))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IF([8]回答表!AA43="●","●","")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IF([8]回答表!X43="●",[8]回答表!O73,IF([8]回答表!AA43="●",[8]回答表!O93,""))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IF([8]回答表!X43="●",[8]回答表!O74,IF([8]回答表!AA43="●",[8]回答表!O94,""))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IF([8]回答表!X43="●",[8]回答表!AG71,IF([8]回答表!AA43="●",[8]回答表!AG91,""))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IF([8]回答表!X43="●",[8]回答表!AG72,IF([8]回答表!AA43="●",[8]回答表!AG92,""))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IF([8]回答表!AD43="●","●","")</f>
        <v/>
      </c>
      <c r="O51" s="131"/>
      <c r="P51" s="131"/>
      <c r="Q51" s="132"/>
      <c r="R51" s="119"/>
      <c r="S51" s="119"/>
      <c r="T51" s="119"/>
      <c r="U51" s="133" t="str">
        <f>IF([8]回答表!AD43="●",[8]回答表!B99,"")</f>
        <v/>
      </c>
      <c r="V51" s="134"/>
      <c r="W51" s="134"/>
      <c r="X51" s="134"/>
      <c r="Y51" s="134"/>
      <c r="Z51" s="134"/>
      <c r="AA51" s="134"/>
      <c r="AB51" s="134"/>
      <c r="AC51" s="134"/>
      <c r="AD51" s="134"/>
      <c r="AE51" s="134"/>
      <c r="AF51" s="134"/>
      <c r="AG51" s="134"/>
      <c r="AH51" s="134"/>
      <c r="AI51" s="134"/>
      <c r="AJ51" s="135"/>
      <c r="AK51" s="183"/>
      <c r="AL51" s="183"/>
      <c r="AM51" s="133" t="str">
        <f>IF([8]回答表!AD43="●",[8]回答表!B104,"")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IF([8]回答表!X44="●","●","")</f>
        <v/>
      </c>
      <c r="O62" s="131"/>
      <c r="P62" s="131"/>
      <c r="Q62" s="132"/>
      <c r="R62" s="119"/>
      <c r="S62" s="119"/>
      <c r="T62" s="119"/>
      <c r="U62" s="133" t="str">
        <f>IF([8]回答表!X44="●",[8]回答表!B115,IF([8]回答表!AA44="●",[8]回答表!B127,""))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IF([8]回答表!X44="●",[8]回答表!S121,IF([8]回答表!AA44="●",[8]回答表!S133,""))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IF([8]回答表!X44="●",[8]回答表!J121,IF([8]回答表!AA44="●",[8]回答表!J133,""))</f>
        <v/>
      </c>
      <c r="AN65" s="83"/>
      <c r="AO65" s="83"/>
      <c r="AP65" s="83"/>
      <c r="AQ65" s="83"/>
      <c r="AR65" s="83"/>
      <c r="AS65" s="83"/>
      <c r="AT65" s="153"/>
      <c r="AU65" s="82" t="str">
        <f>IF([8]回答表!X44="●",[8]回答表!J122,IF([8]回答表!AA44="●",[8]回答表!J134,""))</f>
        <v/>
      </c>
      <c r="AV65" s="83"/>
      <c r="AW65" s="83"/>
      <c r="AX65" s="83"/>
      <c r="AY65" s="83"/>
      <c r="AZ65" s="83"/>
      <c r="BA65" s="83"/>
      <c r="BB65" s="153"/>
      <c r="BC65" s="120"/>
      <c r="BD65" s="109"/>
      <c r="BE65" s="109"/>
      <c r="BF65" s="150" t="str">
        <f>IF([8]回答表!X44="●",[8]回答表!V121,IF([8]回答表!AA44="●",[8]回答表!V133,""))</f>
        <v/>
      </c>
      <c r="BG65" s="151"/>
      <c r="BH65" s="151"/>
      <c r="BI65" s="151"/>
      <c r="BJ65" s="150" t="str">
        <f>IF([8]回答表!X44="●",[8]回答表!V122,IF([8]回答表!AA44="●",[8]回答表!V134,""))</f>
        <v/>
      </c>
      <c r="BK65" s="151"/>
      <c r="BL65" s="151"/>
      <c r="BM65" s="151"/>
      <c r="BN65" s="150" t="str">
        <f>IF([8]回答表!X44="●",[8]回答表!V123,IF([8]回答表!AA44="●",[8]回答表!V135,""))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IF([8]回答表!AA44="●","●","")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IF([8]回答表!AD44="●","●","")</f>
        <v/>
      </c>
      <c r="O74" s="131"/>
      <c r="P74" s="131"/>
      <c r="Q74" s="132"/>
      <c r="R74" s="119"/>
      <c r="S74" s="119"/>
      <c r="T74" s="119"/>
      <c r="U74" s="133" t="str">
        <f>IF([8]回答表!AD44="●",[8]回答表!B140,"")</f>
        <v/>
      </c>
      <c r="V74" s="134"/>
      <c r="W74" s="134"/>
      <c r="X74" s="134"/>
      <c r="Y74" s="134"/>
      <c r="Z74" s="134"/>
      <c r="AA74" s="134"/>
      <c r="AB74" s="134"/>
      <c r="AC74" s="134"/>
      <c r="AD74" s="134"/>
      <c r="AE74" s="134"/>
      <c r="AF74" s="134"/>
      <c r="AG74" s="134"/>
      <c r="AH74" s="134"/>
      <c r="AI74" s="134"/>
      <c r="AJ74" s="135"/>
      <c r="AK74" s="183"/>
      <c r="AL74" s="183"/>
      <c r="AM74" s="133" t="str">
        <f>IF([8]回答表!AD44="●",[8]回答表!B146,"")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IF([8]回答表!F17="水道事業",IF([8]回答表!X45="●","●",""),"")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IF([8]回答表!F17="水道事業",IF([8]回答表!X45="●",[8]回答表!B158,IF([8]回答表!AA45="●",[8]回答表!B223,"")),"")</f>
        <v/>
      </c>
      <c r="AN86" s="201"/>
      <c r="AO86" s="201"/>
      <c r="AP86" s="201"/>
      <c r="AQ86" s="201"/>
      <c r="AR86" s="201"/>
      <c r="AS86" s="201"/>
      <c r="AT86" s="201"/>
      <c r="AU86" s="201"/>
      <c r="AV86" s="201"/>
      <c r="AW86" s="201"/>
      <c r="AX86" s="201"/>
      <c r="AY86" s="201"/>
      <c r="AZ86" s="201"/>
      <c r="BA86" s="201"/>
      <c r="BB86" s="201"/>
      <c r="BC86" s="202"/>
      <c r="BD86" s="109"/>
      <c r="BE86" s="109"/>
      <c r="BF86" s="138" t="str">
        <f>IF([8]回答表!F17="水道事業",IF([8]回答表!X45="●",[8]回答表!B212,IF([8]回答表!AA45="●",[8]回答表!B278,"")),"")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IF([8]回答表!F17="水道事業",IF([8]回答表!X45="●",[8]回答表!J166,IF([8]回答表!AA45="●",[8]回答表!J231,"")),"")</f>
        <v/>
      </c>
      <c r="V88" s="83"/>
      <c r="W88" s="83"/>
      <c r="X88" s="83"/>
      <c r="Y88" s="83"/>
      <c r="Z88" s="83"/>
      <c r="AA88" s="83"/>
      <c r="AB88" s="153"/>
      <c r="AC88" s="82" t="str">
        <f>IF([8]回答表!F17="水道事業",IF([8]回答表!X45="●",[8]回答表!J173,IF([8]回答表!AA45="●",[8]回答表!J238,"")),"")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IF([8]回答表!F17="水道事業",IF([8]回答表!X45="●",[8]回答表!E212,IF([8]回答表!AA45="●",[8]回答表!E278,"")),"")</f>
        <v/>
      </c>
      <c r="BG89" s="151"/>
      <c r="BH89" s="151"/>
      <c r="BI89" s="151"/>
      <c r="BJ89" s="150" t="str">
        <f>IF([8]回答表!F17="水道事業",IF([8]回答表!X45="●",[8]回答表!E213,IF([8]回答表!AA45="●",[8]回答表!E279,"")),"")</f>
        <v/>
      </c>
      <c r="BK89" s="151"/>
      <c r="BL89" s="151"/>
      <c r="BM89" s="151"/>
      <c r="BN89" s="150" t="str">
        <f>IF([8]回答表!F17="水道事業",IF([8]回答表!X45="●",[8]回答表!E214,IF([8]回答表!AA45="●",[8]回答表!E280,"")),"")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IF([8]回答表!F17="水道事業",IF([8]回答表!AA45="●","●",""),"")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IF([8]回答表!F17="水道事業",IF([8]回答表!X45="●",[8]回答表!J176,IF([8]回答表!AA45="●",[8]回答表!J241,"")),"")</f>
        <v/>
      </c>
      <c r="V93" s="83"/>
      <c r="W93" s="83"/>
      <c r="X93" s="83"/>
      <c r="Y93" s="83"/>
      <c r="Z93" s="83"/>
      <c r="AA93" s="83"/>
      <c r="AB93" s="153"/>
      <c r="AC93" s="82" t="str">
        <f>IF([8]回答表!F17="水道事業",IF([8]回答表!X45="●",[8]回答表!J180,IF([8]回答表!AA45="●",[8]回答表!J245,"")),"")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IF([8]回答表!F17="水道事業",IF([8]回答表!AD45="●","●",""),"")</f>
        <v/>
      </c>
      <c r="O98" s="131"/>
      <c r="P98" s="131"/>
      <c r="Q98" s="132"/>
      <c r="R98" s="119"/>
      <c r="S98" s="119"/>
      <c r="T98" s="119"/>
      <c r="U98" s="133" t="str">
        <f>IF([8]回答表!F17="水道事業",IF([8]回答表!AD45="●",[8]回答表!B289,""),"")</f>
        <v/>
      </c>
      <c r="V98" s="134"/>
      <c r="W98" s="134"/>
      <c r="X98" s="134"/>
      <c r="Y98" s="134"/>
      <c r="Z98" s="134"/>
      <c r="AA98" s="134"/>
      <c r="AB98" s="134"/>
      <c r="AC98" s="134"/>
      <c r="AD98" s="134"/>
      <c r="AE98" s="134"/>
      <c r="AF98" s="134"/>
      <c r="AG98" s="134"/>
      <c r="AH98" s="134"/>
      <c r="AI98" s="134"/>
      <c r="AJ98" s="135"/>
      <c r="AK98" s="183"/>
      <c r="AL98" s="183"/>
      <c r="AM98" s="133" t="str">
        <f>IF([8]回答表!F17="水道事業",IF([8]回答表!AD45="●",[8]回答表!B295,""),"")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IF([8]回答表!F17="簡易水道事業",IF([8]回答表!X45="●",[8]回答表!B158,IF([8]回答表!AA45="●",[8]回答表!B223,"")),"")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IF([8]回答表!F17="簡易水道事業",IF([8]回答表!X45="●",[8]回答表!B212,IF([8]回答表!AA45="●",[8]回答表!B278,"")),"")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IF([8]回答表!F17="簡易水道事業",IF([8]回答表!X45="●","●",""),"")</f>
        <v/>
      </c>
      <c r="O112" s="131"/>
      <c r="P112" s="131"/>
      <c r="Q112" s="132"/>
      <c r="R112" s="119"/>
      <c r="S112" s="119"/>
      <c r="T112" s="119"/>
      <c r="U112" s="82" t="str">
        <f>IF([8]回答表!F17="簡易水道事業",IF([8]回答表!X45="●",[8]回答表!Y185,IF([8]回答表!AA45="●",[8]回答表!Y251,"")),"")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IF([8]回答表!F17="簡易水道事業",IF([8]回答表!X45="●",[8]回答表!E212,IF([8]回答表!AA45="●",[8]回答表!E278,"")),"")</f>
        <v/>
      </c>
      <c r="BG113" s="151"/>
      <c r="BH113" s="151"/>
      <c r="BI113" s="151"/>
      <c r="BJ113" s="150" t="str">
        <f>IF([8]回答表!F17="簡易水道事業",IF([8]回答表!X45="●",[8]回答表!E213,IF([8]回答表!AA45="●",[8]回答表!E279,"")),"")</f>
        <v/>
      </c>
      <c r="BK113" s="151"/>
      <c r="BL113" s="151"/>
      <c r="BM113" s="151"/>
      <c r="BN113" s="150" t="str">
        <f>IF([8]回答表!F17="簡易水道事業",IF([8]回答表!X45="●",[8]回答表!E214,IF([8]回答表!AA45="●",[8]回答表!E280,"")),"")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IF([8]回答表!F17="簡易水道事業",IF([8]回答表!X45="●",[8]回答表!Y186,IF([8]回答表!AA45="●",[8]回答表!Y252,"")),"")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IF([8]回答表!F17="簡易水道事業",IF([8]回答表!AA45="●","●",""),"")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IF([8]回答表!F17="簡易水道事業",IF([8]回答表!X45="●",[8]回答表!Y187,IF([8]回答表!AA45="●",[8]回答表!Y253,"")),"")</f>
        <v/>
      </c>
      <c r="V122" s="83"/>
      <c r="W122" s="83"/>
      <c r="X122" s="83"/>
      <c r="Y122" s="83"/>
      <c r="Z122" s="83"/>
      <c r="AA122" s="83"/>
      <c r="AB122" s="83"/>
      <c r="AC122" s="83"/>
      <c r="AD122" s="83"/>
      <c r="AE122" s="83"/>
      <c r="AF122" s="83"/>
      <c r="AG122" s="83"/>
      <c r="AH122" s="83"/>
      <c r="AI122" s="83"/>
      <c r="AJ122" s="153"/>
      <c r="AK122" s="68"/>
      <c r="AL122" s="68"/>
      <c r="AM122" s="233" t="str">
        <f>IF([8]回答表!F17="簡易水道事業",IF([8]回答表!X45="●",[8]回答表!Y189,IF([8]回答表!AA45="●",[8]回答表!Y255,"")),"")</f>
        <v/>
      </c>
      <c r="AN122" s="233"/>
      <c r="AO122" s="233"/>
      <c r="AP122" s="233"/>
      <c r="AQ122" s="233"/>
      <c r="AR122" s="233"/>
      <c r="AS122" s="233" t="str">
        <f>IF([8]回答表!F17="簡易水道事業",IF([8]回答表!X45="●",[8]回答表!Y190,IF([8]回答表!AA45="●",[8]回答表!Y256,"")),"")</f>
        <v/>
      </c>
      <c r="AT122" s="233"/>
      <c r="AU122" s="233"/>
      <c r="AV122" s="233"/>
      <c r="AW122" s="233"/>
      <c r="AX122" s="233"/>
      <c r="AY122" s="233" t="str">
        <f>IF([8]回答表!F17="簡易水道事業",IF([8]回答表!X45="●",[8]回答表!Y191,IF([8]回答表!AA45="●",[8]回答表!Y257,"")),"")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IF([8]回答表!F17="簡易水道事業",IF([8]回答表!AD45="●","●",""),"")</f>
        <v/>
      </c>
      <c r="O127" s="131"/>
      <c r="P127" s="131"/>
      <c r="Q127" s="132"/>
      <c r="R127" s="119"/>
      <c r="S127" s="119"/>
      <c r="T127" s="119"/>
      <c r="U127" s="133" t="str">
        <f>IF([8]回答表!F17="簡易水道事業",IF([8]回答表!AD45="●",[8]回答表!B289,""),"")</f>
        <v/>
      </c>
      <c r="V127" s="134"/>
      <c r="W127" s="134"/>
      <c r="X127" s="134"/>
      <c r="Y127" s="134"/>
      <c r="Z127" s="134"/>
      <c r="AA127" s="134"/>
      <c r="AB127" s="134"/>
      <c r="AC127" s="134"/>
      <c r="AD127" s="134"/>
      <c r="AE127" s="134"/>
      <c r="AF127" s="134"/>
      <c r="AG127" s="134"/>
      <c r="AH127" s="134"/>
      <c r="AI127" s="134"/>
      <c r="AJ127" s="135"/>
      <c r="AK127" s="183"/>
      <c r="AL127" s="183"/>
      <c r="AM127" s="133" t="str">
        <f>IF([8]回答表!F17="簡易水道事業",IF([8]回答表!AD45="●",[8]回答表!B295,""),"")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IF([8]回答表!F17="下水道事業",IF([8]回答表!X45="●","●",""),"")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IF([8]回答表!F17="下水道事業",IF([8]回答表!X45="●",[8]回答表!B158,IF([8]回答表!AA45="●",[8]回答表!B223,"")),"")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IF([8]回答表!F17="下水道事業",IF([8]回答表!X45="●",[8]回答表!B212,IF([8]回答表!AA45="●",[8]回答表!B278,"")),"")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IF([8]回答表!F17="下水道事業",IF([8]回答表!X45="●",[8]回答表!Y193,IF([8]回答表!AA45="●",[8]回答表!Y259,"")),"")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IF([8]回答表!F17="下水道事業",IF([8]回答表!X45="●",[8]回答表!E212,IF([8]回答表!AA45="●",[8]回答表!E278,"")),"")</f>
        <v/>
      </c>
      <c r="BG142" s="151"/>
      <c r="BH142" s="151"/>
      <c r="BI142" s="151"/>
      <c r="BJ142" s="150" t="str">
        <f>IF([8]回答表!F17="下水道事業",IF([8]回答表!X45="●",[8]回答表!E213,IF([8]回答表!AA45="●",[8]回答表!E279,"")),"")</f>
        <v/>
      </c>
      <c r="BK142" s="151"/>
      <c r="BL142" s="151"/>
      <c r="BM142" s="151"/>
      <c r="BN142" s="150" t="str">
        <f>IF([8]回答表!F17="下水道事業",IF([8]回答表!X45="●",[8]回答表!E214,IF([8]回答表!AA45="●",[8]回答表!E280,"")),"")</f>
        <v/>
      </c>
      <c r="BO142" s="151"/>
      <c r="BP142" s="151"/>
      <c r="BQ142" s="152"/>
      <c r="BR142" s="112"/>
      <c r="BX142" s="200" t="str">
        <f>IF([8]回答表!AQ20="下水道事業",IF([8]回答表!BI48="○",[8]回答表!AM161,IF([8]回答表!BL48="○",[8]回答表!AM226,"")),"")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IF([8]回答表!F17="下水道事業",IF([8]回答表!X45="●",[8]回答表!Y195,IF([8]回答表!AA45="●",[8]回答表!Y261,"")),"")</f>
        <v/>
      </c>
      <c r="V147" s="83"/>
      <c r="W147" s="83"/>
      <c r="X147" s="83"/>
      <c r="Y147" s="83"/>
      <c r="Z147" s="83"/>
      <c r="AA147" s="83"/>
      <c r="AB147" s="153"/>
      <c r="AC147" s="82" t="str">
        <f>IF([8]回答表!F17="下水道事業",IF([8]回答表!X45="●",[8]回答表!Y196,IF([8]回答表!AA45="●",[8]回答表!Y262,"")),"")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IF([8]回答表!F17="下水道事業",IF([8]回答表!X45="●",[8]回答表!Y198,IF([8]回答表!AA45="●",[8]回答表!Y264,"")),"")</f>
        <v/>
      </c>
      <c r="V153" s="83"/>
      <c r="W153" s="83"/>
      <c r="X153" s="83"/>
      <c r="Y153" s="83"/>
      <c r="Z153" s="83"/>
      <c r="AA153" s="83"/>
      <c r="AB153" s="153"/>
      <c r="AC153" s="82" t="str">
        <f>IF([8]回答表!F17="下水道事業",IF([8]回答表!X45="●",[8]回答表!Y199,IF([8]回答表!AA45="●",[8]回答表!Y265,"")),"")</f>
        <v/>
      </c>
      <c r="AD153" s="83"/>
      <c r="AE153" s="83"/>
      <c r="AF153" s="83"/>
      <c r="AG153" s="83"/>
      <c r="AH153" s="83"/>
      <c r="AI153" s="83"/>
      <c r="AJ153" s="153"/>
      <c r="AK153" s="82" t="str">
        <f>IF([8]回答表!F17="下水道事業",IF([8]回答表!X45="●",[8]回答表!Y200,IF([8]回答表!AA45="●",[8]回答表!Y266,"")),"")</f>
        <v/>
      </c>
      <c r="AL153" s="83"/>
      <c r="AM153" s="83"/>
      <c r="AN153" s="83"/>
      <c r="AO153" s="83"/>
      <c r="AP153" s="83"/>
      <c r="AQ153" s="83"/>
      <c r="AR153" s="153"/>
      <c r="AS153" s="82" t="str">
        <f>IF([8]回答表!F17="下水道事業",IF([8]回答表!X45="●",[8]回答表!Y201,IF([8]回答表!AA45="●",[8]回答表!Y267,"")),"")</f>
        <v/>
      </c>
      <c r="AT153" s="83"/>
      <c r="AU153" s="83"/>
      <c r="AV153" s="83"/>
      <c r="AW153" s="83"/>
      <c r="AX153" s="83"/>
      <c r="AY153" s="83"/>
      <c r="AZ153" s="153"/>
      <c r="BA153" s="82" t="str">
        <f>IF([8]回答表!F17="下水道事業",IF([8]回答表!X45="●",[8]回答表!Y202,IF([8]回答表!AA45="●",[8]回答表!Y268,"")),"")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IF([8]回答表!F17="下水道事業",IF([8]回答表!AA45="●","●",""),"")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IF([8]回答表!F17="下水道事業",IF([8]回答表!X45="●",[8]回答表!Y207,IF([8]回答表!AA45="●",[8]回答表!Y273,"")),"")</f>
        <v/>
      </c>
      <c r="V159" s="83"/>
      <c r="W159" s="83"/>
      <c r="X159" s="83"/>
      <c r="Y159" s="83"/>
      <c r="Z159" s="83"/>
      <c r="AA159" s="83"/>
      <c r="AB159" s="153"/>
      <c r="AC159" s="82" t="str">
        <f>IF([8]回答表!F17="下水道事業",IF([8]回答表!X45="●",[8]回答表!Y208,IF([8]回答表!AA45="●",[8]回答表!Y274,"")),"")</f>
        <v/>
      </c>
      <c r="AD159" s="83"/>
      <c r="AE159" s="83"/>
      <c r="AF159" s="83"/>
      <c r="AG159" s="83"/>
      <c r="AH159" s="83"/>
      <c r="AI159" s="83"/>
      <c r="AJ159" s="153"/>
      <c r="AK159" s="82" t="str">
        <f>IF([8]回答表!F17="下水道事業",IF([8]回答表!X45="●",[8]回答表!Y209,IF([8]回答表!AA45="●",[8]回答表!Y275,"")),"")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IF([8]回答表!F17="下水道事業",IF([8]回答表!AD45="●","●",""),"")</f>
        <v/>
      </c>
      <c r="O164" s="131"/>
      <c r="P164" s="131"/>
      <c r="Q164" s="132"/>
      <c r="R164" s="119"/>
      <c r="S164" s="119"/>
      <c r="T164" s="119"/>
      <c r="U164" s="133" t="str">
        <f>IF([8]回答表!F17="下水道事業",IF([8]回答表!AD45="●",[8]回答表!B289,""),"")</f>
        <v/>
      </c>
      <c r="V164" s="134"/>
      <c r="W164" s="134"/>
      <c r="X164" s="134"/>
      <c r="Y164" s="134"/>
      <c r="Z164" s="134"/>
      <c r="AA164" s="134"/>
      <c r="AB164" s="134"/>
      <c r="AC164" s="134"/>
      <c r="AD164" s="134"/>
      <c r="AE164" s="134"/>
      <c r="AF164" s="134"/>
      <c r="AG164" s="134"/>
      <c r="AH164" s="134"/>
      <c r="AI164" s="134"/>
      <c r="AJ164" s="135"/>
      <c r="AK164" s="183"/>
      <c r="AL164" s="183"/>
      <c r="AM164" s="133" t="str">
        <f>IF([8]回答表!F17="下水道事業",IF([8]回答表!AD45="●",[8]回答表!B295,""),"")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IF([8]回答表!BD17="●",IF([8]回答表!X45="●","●",""),"")</f>
        <v/>
      </c>
      <c r="O176" s="131"/>
      <c r="P176" s="131"/>
      <c r="Q176" s="132"/>
      <c r="R176" s="119"/>
      <c r="S176" s="119"/>
      <c r="T176" s="119"/>
      <c r="U176" s="133" t="str">
        <f>IF([8]回答表!BD17="●",IF([8]回答表!X45="●",[8]回答表!B158,IF([8]回答表!AA45="●",[8]回答表!B223,"")),"")</f>
        <v/>
      </c>
      <c r="V176" s="134"/>
      <c r="W176" s="134"/>
      <c r="X176" s="134"/>
      <c r="Y176" s="134"/>
      <c r="Z176" s="134"/>
      <c r="AA176" s="134"/>
      <c r="AB176" s="134"/>
      <c r="AC176" s="134"/>
      <c r="AD176" s="134"/>
      <c r="AE176" s="134"/>
      <c r="AF176" s="134"/>
      <c r="AG176" s="134"/>
      <c r="AH176" s="134"/>
      <c r="AI176" s="134"/>
      <c r="AJ176" s="135"/>
      <c r="AK176" s="136"/>
      <c r="AL176" s="136"/>
      <c r="AM176" s="138" t="str">
        <f>IF([8]回答表!BD17="●",IF([8]回答表!X45="●",[8]回答表!B212,IF([8]回答表!AA45="●",[8]回答表!B278,"")),"")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IF([8]回答表!BD17="●",IF([8]回答表!X45="●",[8]回答表!E212,IF([8]回答表!AA45="●",[8]回答表!E278,"")),"")</f>
        <v/>
      </c>
      <c r="AN179" s="151"/>
      <c r="AO179" s="151"/>
      <c r="AP179" s="151"/>
      <c r="AQ179" s="150" t="str">
        <f>IF([8]回答表!BD17="●",IF([8]回答表!X45="●",[8]回答表!E213,IF([8]回答表!AA45="●",[8]回答表!E279,"")),"")</f>
        <v/>
      </c>
      <c r="AR179" s="151"/>
      <c r="AS179" s="151"/>
      <c r="AT179" s="151"/>
      <c r="AU179" s="150" t="str">
        <f>IF([8]回答表!BD17="●",IF([8]回答表!X45="●",[8]回答表!E214,IF([8]回答表!AA45="●",[8]回答表!E280,"")),"")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IF([8]回答表!BD17="●",IF([8]回答表!AA45="●","●",""),"")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IF([8]回答表!BD17="●",IF([8]回答表!AD45="●","●",""),"")</f>
        <v/>
      </c>
      <c r="O188" s="131"/>
      <c r="P188" s="131"/>
      <c r="Q188" s="132"/>
      <c r="R188" s="119"/>
      <c r="S188" s="119"/>
      <c r="T188" s="119"/>
      <c r="U188" s="133" t="str">
        <f>IF([8]回答表!BD17="●",IF([8]回答表!AD45="●",[8]回答表!B289,""),"")</f>
        <v/>
      </c>
      <c r="V188" s="134"/>
      <c r="W188" s="134"/>
      <c r="X188" s="134"/>
      <c r="Y188" s="134"/>
      <c r="Z188" s="134"/>
      <c r="AA188" s="134"/>
      <c r="AB188" s="134"/>
      <c r="AC188" s="134"/>
      <c r="AD188" s="134"/>
      <c r="AE188" s="134"/>
      <c r="AF188" s="134"/>
      <c r="AG188" s="134"/>
      <c r="AH188" s="134"/>
      <c r="AI188" s="134"/>
      <c r="AJ188" s="135"/>
      <c r="AK188" s="183"/>
      <c r="AL188" s="183"/>
      <c r="AM188" s="133" t="str">
        <f>IF([8]回答表!BD17="●",IF([8]回答表!AD45="●",[8]回答表!B295,""),"")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IF([8]回答表!X46="●","●","")</f>
        <v/>
      </c>
      <c r="O200" s="131"/>
      <c r="P200" s="131"/>
      <c r="Q200" s="132"/>
      <c r="R200" s="119"/>
      <c r="S200" s="119"/>
      <c r="T200" s="119"/>
      <c r="U200" s="133" t="str">
        <f>IF([8]回答表!X46="●",[8]回答表!B307,IF([8]回答表!AA46="●",[8]回答表!B324,""))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IF([8]回答表!X46="●",[8]回答表!U313,IF([8]回答表!AA46="●",[8]回答表!U330,""))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IF([8]回答表!X46="●",[8]回答表!G313,IF([8]回答表!AA46="●",[8]回答表!G330,""))</f>
        <v/>
      </c>
      <c r="AN203" s="83"/>
      <c r="AO203" s="83"/>
      <c r="AP203" s="83"/>
      <c r="AQ203" s="83"/>
      <c r="AR203" s="83"/>
      <c r="AS203" s="83"/>
      <c r="AT203" s="153"/>
      <c r="AU203" s="82" t="str">
        <f>IF([8]回答表!X46="●",[8]回答表!G314,IF([8]回答表!AA46="●",[8]回答表!G331,""))</f>
        <v/>
      </c>
      <c r="AV203" s="83"/>
      <c r="AW203" s="83"/>
      <c r="AX203" s="83"/>
      <c r="AY203" s="83"/>
      <c r="AZ203" s="83"/>
      <c r="BA203" s="83"/>
      <c r="BB203" s="153"/>
      <c r="BC203" s="120"/>
      <c r="BD203" s="109"/>
      <c r="BE203" s="109"/>
      <c r="BF203" s="150" t="str">
        <f>IF([8]回答表!X46="●",[8]回答表!X313,IF([8]回答表!AA46="●",[8]回答表!X330,""))</f>
        <v/>
      </c>
      <c r="BG203" s="151"/>
      <c r="BH203" s="151"/>
      <c r="BI203" s="151"/>
      <c r="BJ203" s="150" t="str">
        <f>IF([8]回答表!X46="●",[8]回答表!X314,IF([8]回答表!AA46="●",[8]回答表!X331,""))</f>
        <v/>
      </c>
      <c r="BK203" s="151"/>
      <c r="BL203" s="151"/>
      <c r="BM203" s="152"/>
      <c r="BN203" s="150" t="str">
        <f>IF([8]回答表!X46="●",[8]回答表!X315,IF([8]回答表!AA46="●",[8]回答表!X332,""))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IF([8]回答表!AA46="●","●","")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IF([8]回答表!AD46="●","●","")</f>
        <v/>
      </c>
      <c r="O212" s="131"/>
      <c r="P212" s="131"/>
      <c r="Q212" s="132"/>
      <c r="R212" s="119"/>
      <c r="S212" s="119"/>
      <c r="T212" s="119"/>
      <c r="U212" s="133" t="str">
        <f>IF([8]回答表!AD46="●",[8]回答表!B337,"")</f>
        <v/>
      </c>
      <c r="V212" s="134"/>
      <c r="W212" s="134"/>
      <c r="X212" s="134"/>
      <c r="Y212" s="134"/>
      <c r="Z212" s="134"/>
      <c r="AA212" s="134"/>
      <c r="AB212" s="134"/>
      <c r="AC212" s="134"/>
      <c r="AD212" s="134"/>
      <c r="AE212" s="134"/>
      <c r="AF212" s="134"/>
      <c r="AG212" s="134"/>
      <c r="AH212" s="134"/>
      <c r="AI212" s="134"/>
      <c r="AJ212" s="135"/>
      <c r="AK212" s="259"/>
      <c r="AL212" s="259"/>
      <c r="AM212" s="133" t="str">
        <f>IF([8]回答表!AD46="●",[8]回答表!B343,"")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IF([8]回答表!X47="●","●","")</f>
        <v/>
      </c>
      <c r="O224" s="131"/>
      <c r="P224" s="131"/>
      <c r="Q224" s="132"/>
      <c r="R224" s="119"/>
      <c r="S224" s="119"/>
      <c r="T224" s="119"/>
      <c r="U224" s="133" t="str">
        <f>IF([8]回答表!X47="●",[8]回答表!B356,IF([8]回答表!AA47="●",[8]回答表!B379,""))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IF([8]回答表!X47="●",[8]回答表!B362,"")</f>
        <v/>
      </c>
      <c r="AO224" s="263"/>
      <c r="AP224" s="263"/>
      <c r="AQ224" s="263"/>
      <c r="AR224" s="263"/>
      <c r="AS224" s="263"/>
      <c r="AT224" s="263"/>
      <c r="AU224" s="263"/>
      <c r="AV224" s="263"/>
      <c r="AW224" s="263"/>
      <c r="AX224" s="263"/>
      <c r="AY224" s="263"/>
      <c r="AZ224" s="263"/>
      <c r="BA224" s="263"/>
      <c r="BB224" s="264"/>
      <c r="BC224" s="120"/>
      <c r="BD224" s="109"/>
      <c r="BE224" s="109"/>
      <c r="BF224" s="138" t="str">
        <f>IF([8]回答表!X47="●",[8]回答表!B368,IF([8]回答表!AA47="●",[8]回答表!B385,""))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IF([8]回答表!X47="●",[8]回答表!E368,IF([8]回答表!AA47="●",[8]回答表!E385,""))</f>
        <v/>
      </c>
      <c r="BG227" s="151"/>
      <c r="BH227" s="151"/>
      <c r="BI227" s="151"/>
      <c r="BJ227" s="150" t="str">
        <f>IF([8]回答表!X47="●",[8]回答表!E369,IF([8]回答表!AA47="●",[8]回答表!E386,""))</f>
        <v/>
      </c>
      <c r="BK227" s="151"/>
      <c r="BL227" s="151"/>
      <c r="BM227" s="152"/>
      <c r="BN227" s="150" t="str">
        <f>IF([8]回答表!X47="●",[8]回答表!E370,IF([8]回答表!AA47="●",[8]回答表!E387,""))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IF([8]回答表!AA47="●","●","")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IF([8]回答表!AD47="●","●","")</f>
        <v/>
      </c>
      <c r="O236" s="131"/>
      <c r="P236" s="131"/>
      <c r="Q236" s="132"/>
      <c r="R236" s="119"/>
      <c r="S236" s="119"/>
      <c r="T236" s="119"/>
      <c r="U236" s="133" t="str">
        <f>IF([8]回答表!AD47="●",[8]回答表!B392,"")</f>
        <v/>
      </c>
      <c r="V236" s="134"/>
      <c r="W236" s="134"/>
      <c r="X236" s="134"/>
      <c r="Y236" s="134"/>
      <c r="Z236" s="134"/>
      <c r="AA236" s="134"/>
      <c r="AB236" s="134"/>
      <c r="AC236" s="134"/>
      <c r="AD236" s="134"/>
      <c r="AE236" s="134"/>
      <c r="AF236" s="134"/>
      <c r="AG236" s="134"/>
      <c r="AH236" s="134"/>
      <c r="AI236" s="134"/>
      <c r="AJ236" s="135"/>
      <c r="AK236" s="259"/>
      <c r="AL236" s="259"/>
      <c r="AM236" s="133" t="str">
        <f>IF([8]回答表!AD47="●",[8]回答表!B398,"")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IF([8]回答表!X48="●","●","")</f>
        <v/>
      </c>
      <c r="O248" s="131"/>
      <c r="P248" s="131"/>
      <c r="Q248" s="132"/>
      <c r="R248" s="119"/>
      <c r="S248" s="119"/>
      <c r="T248" s="119"/>
      <c r="U248" s="133" t="str">
        <f>IF([8]回答表!X48="●",[8]回答表!B411,IF([8]回答表!AA48="●",[8]回答表!B425,""))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IF([8]回答表!X48="●",[8]回答表!BC418,IF([8]回答表!AA48="●",[8]回答表!BC432,""))</f>
        <v/>
      </c>
      <c r="AR248" s="272"/>
      <c r="AS248" s="272"/>
      <c r="AT248" s="272"/>
      <c r="AU248" s="273" t="s">
        <v>73</v>
      </c>
      <c r="AV248" s="274"/>
      <c r="AW248" s="274"/>
      <c r="AX248" s="275"/>
      <c r="AY248" s="272" t="str">
        <f>IF([8]回答表!X48="●",[8]回答表!BC423,IF([8]回答表!AA48="●",[8]回答表!BC437,""))</f>
        <v/>
      </c>
      <c r="AZ248" s="272"/>
      <c r="BA248" s="272"/>
      <c r="BB248" s="272"/>
      <c r="BC248" s="120"/>
      <c r="BD248" s="109"/>
      <c r="BE248" s="109"/>
      <c r="BF248" s="138" t="str">
        <f>IF([8]回答表!X48="●",[8]回答表!S417,IF([8]回答表!AA48="●",[8]回答表!S431,""))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IF([8]回答表!X48="●",[8]回答表!BC419,IF([8]回答表!AA48="●",[8]回答表!BC433,""))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IF([8]回答表!X48="●",[8]回答表!V417,IF([8]回答表!AA48="●",[8]回答表!V431,""))</f>
        <v/>
      </c>
      <c r="BG251" s="151"/>
      <c r="BH251" s="151"/>
      <c r="BI251" s="151"/>
      <c r="BJ251" s="150" t="str">
        <f>IF([8]回答表!X48="●",[8]回答表!V418,IF([8]回答表!AA48="●",[8]回答表!V432,""))</f>
        <v/>
      </c>
      <c r="BK251" s="151"/>
      <c r="BL251" s="151"/>
      <c r="BM251" s="152"/>
      <c r="BN251" s="150" t="str">
        <f>IF([8]回答表!X48="●",[8]回答表!V419,IF([8]回答表!AA48="●",[8]回答表!V433,""))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IF([8]回答表!X48="●",[8]回答表!BC420,IF([8]回答表!AA48="●",[8]回答表!BC434,""))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IF([8]回答表!X48="●",[8]回答表!BC424,IF([8]回答表!AA48="●",[8]回答表!BC438,""))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IF([8]回答表!AA48="●","●","")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IF([8]回答表!X48="●",[8]回答表!BC421,IF([8]回答表!AA48="●",[8]回答表!BC435,""))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IF([8]回答表!X48="●",[8]回答表!BC422,IF([8]回答表!AA48="●",[8]回答表!BC436,""))</f>
        <v/>
      </c>
      <c r="AR256" s="272"/>
      <c r="AS256" s="272"/>
      <c r="AT256" s="272"/>
      <c r="AU256" s="224" t="s">
        <v>79</v>
      </c>
      <c r="AV256" s="225"/>
      <c r="AW256" s="225"/>
      <c r="AX256" s="226"/>
      <c r="AY256" s="282" t="str">
        <f>IF([8]回答表!X48="●",[8]回答表!BC425,IF([8]回答表!AA48="●",[8]回答表!BC439,""))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IF([8]回答表!AD48="●","●","")</f>
        <v/>
      </c>
      <c r="O260" s="131"/>
      <c r="P260" s="131"/>
      <c r="Q260" s="132"/>
      <c r="R260" s="119"/>
      <c r="S260" s="119"/>
      <c r="T260" s="119"/>
      <c r="U260" s="133" t="str">
        <f>IF([8]回答表!AD48="●",[8]回答表!B439,"")</f>
        <v/>
      </c>
      <c r="V260" s="134"/>
      <c r="W260" s="134"/>
      <c r="X260" s="134"/>
      <c r="Y260" s="134"/>
      <c r="Z260" s="134"/>
      <c r="AA260" s="134"/>
      <c r="AB260" s="134"/>
      <c r="AC260" s="134"/>
      <c r="AD260" s="134"/>
      <c r="AE260" s="134"/>
      <c r="AF260" s="134"/>
      <c r="AG260" s="134"/>
      <c r="AH260" s="134"/>
      <c r="AI260" s="134"/>
      <c r="AJ260" s="135"/>
      <c r="AK260" s="183"/>
      <c r="AL260" s="183"/>
      <c r="AM260" s="133" t="str">
        <f>IF([8]回答表!AD48="●",[8]回答表!B445,"")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IF([8]回答表!X49="●","●","")</f>
        <v/>
      </c>
      <c r="O271" s="131"/>
      <c r="P271" s="131"/>
      <c r="Q271" s="132"/>
      <c r="R271" s="119"/>
      <c r="S271" s="119"/>
      <c r="T271" s="119"/>
      <c r="U271" s="133" t="str">
        <f>IF([8]回答表!X49="●",[8]回答表!B458,IF([8]回答表!AA49="●",[8]回答表!B475,""))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IF([8]回答表!X49="●",[8]回答表!B468,IF([8]回答表!AA49="●",[8]回答表!B485,""))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IF([8]回答表!X49="●",[8]回答表!G464,IF([8]回答表!AA49="●",[8]回答表!G481,""))</f>
        <v/>
      </c>
      <c r="AN273" s="83"/>
      <c r="AO273" s="83"/>
      <c r="AP273" s="83"/>
      <c r="AQ273" s="83"/>
      <c r="AR273" s="83"/>
      <c r="AS273" s="83"/>
      <c r="AT273" s="153"/>
      <c r="AU273" s="82" t="str">
        <f>IF([8]回答表!X49="●",[8]回答表!G465,IF([8]回答表!AA49="●",[8]回答表!G482,""))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IF([8]回答表!X49="●",[8]回答表!E468,IF([8]回答表!AA49="●",[8]回答表!E485,""))</f>
        <v/>
      </c>
      <c r="BG274" s="151"/>
      <c r="BH274" s="151"/>
      <c r="BI274" s="151"/>
      <c r="BJ274" s="150" t="str">
        <f>IF([8]回答表!X49="●",[8]回答表!E469,IF([8]回答表!AA49="●",[8]回答表!E486,""))</f>
        <v/>
      </c>
      <c r="BK274" s="151"/>
      <c r="BL274" s="151"/>
      <c r="BM274" s="152"/>
      <c r="BN274" s="150" t="str">
        <f>IF([8]回答表!X49="●",[8]回答表!E470,IF([8]回答表!AA49="●",[8]回答表!E487,""))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IF([8]回答表!AA49="●","●","")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IF([8]回答表!AD49="●","●","")</f>
        <v/>
      </c>
      <c r="O283" s="131"/>
      <c r="P283" s="131"/>
      <c r="Q283" s="132"/>
      <c r="R283" s="119"/>
      <c r="S283" s="119"/>
      <c r="T283" s="119"/>
      <c r="U283" s="133" t="str">
        <f>IF([8]回答表!AD49="●",[8]回答表!B492,"")</f>
        <v/>
      </c>
      <c r="V283" s="134"/>
      <c r="W283" s="134"/>
      <c r="X283" s="134"/>
      <c r="Y283" s="134"/>
      <c r="Z283" s="134"/>
      <c r="AA283" s="134"/>
      <c r="AB283" s="134"/>
      <c r="AC283" s="134"/>
      <c r="AD283" s="134"/>
      <c r="AE283" s="134"/>
      <c r="AF283" s="134"/>
      <c r="AG283" s="134"/>
      <c r="AH283" s="134"/>
      <c r="AI283" s="134"/>
      <c r="AJ283" s="135"/>
      <c r="AK283" s="136"/>
      <c r="AL283" s="136"/>
      <c r="AM283" s="133" t="str">
        <f>IF([8]回答表!AD49="●",[8]回答表!B498,"")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IF([8]回答表!R50="●",[8]回答表!B511,"")</f>
        <v>　民営化や民間活用等については、知見やノウハウの不足により検討まで至らなく、広域化については、資本的な面でも今後の人口減少等から収入の減が見込まれている中での実施は現実的ではないと思われます。</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3" priority="2">
      <formula>$BB$25="○"</formula>
    </cfRule>
  </conditionalFormatting>
  <conditionalFormatting sqref="BD28:BD30">
    <cfRule type="expression" dxfId="1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