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13_ncr:1_{2658607C-F1DC-4FF2-9B5C-A3604B1776D1}" xr6:coauthVersionLast="46" xr6:coauthVersionMax="46" xr10:uidLastSave="{00000000-0000-0000-0000-000000000000}"/>
  <bookViews>
    <workbookView xWindow="10860" yWindow="885" windowWidth="14985" windowHeight="13875" tabRatio="927" xr2:uid="{784D87A8-7DD1-4AF6-B8AC-6779687CED14}"/>
  </bookViews>
  <sheets>
    <sheet name="水道" sheetId="1" r:id="rId1"/>
    <sheet name="簡易水道" sheetId="2" r:id="rId2"/>
    <sheet name="病院" sheetId="8" r:id="rId3"/>
    <sheet name="下水道（公共下水道）" sheetId="3" r:id="rId4"/>
    <sheet name="下水道（農業集落排水施設）" sheetId="4" r:id="rId5"/>
    <sheet name="下水道（林業集落排水施設）" sheetId="5" r:id="rId6"/>
    <sheet name="下水道（小規模集合排水施設）" sheetId="6" r:id="rId7"/>
    <sheet name="下水道（特定地域排水処理施設）" sheetId="7" r:id="rId8"/>
    <sheet name="観光" sheetId="9" r:id="rId9"/>
    <sheet name="介護サービス（指定介護老人福祉施設）" sheetId="10" r:id="rId10"/>
    <sheet name="介護サービス（介護老人保健施設）" sheetId="11" r:id="rId11"/>
    <sheet name="介護サービス（老人短期入所施設）" sheetId="13" r:id="rId12"/>
    <sheet name="介護サービス（老人デイサービスセンター）" sheetId="1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Print_Area" localSheetId="3">'下水道（公共下水道）'!$A$1:$BS$315</definedName>
    <definedName name="_xlnm.Print_Area" localSheetId="6">'下水道（小規模集合排水施設）'!$A$1:$BS$315</definedName>
    <definedName name="_xlnm.Print_Area" localSheetId="7">'下水道（特定地域排水処理施設）'!$A$1:$BS$315</definedName>
    <definedName name="_xlnm.Print_Area" localSheetId="4">'下水道（農業集落排水施設）'!$A$1:$BS$315</definedName>
    <definedName name="_xlnm.Print_Area" localSheetId="5">'下水道（林業集落排水施設）'!$A$1:$BS$315</definedName>
    <definedName name="_xlnm.Print_Area" localSheetId="10">'介護サービス（介護老人保健施設）'!$A$1:$BS$315</definedName>
    <definedName name="_xlnm.Print_Area" localSheetId="9">'介護サービス（指定介護老人福祉施設）'!$A$1:$BS$315</definedName>
    <definedName name="_xlnm.Print_Area" localSheetId="12">'介護サービス（老人デイサービスセンター）'!$A$1:$BS$315</definedName>
    <definedName name="_xlnm.Print_Area" localSheetId="11">'介護サービス（老人短期入所施設）'!$A$1:$BS$315</definedName>
    <definedName name="_xlnm.Print_Area" localSheetId="1">簡易水道!$A$1:$BS$315</definedName>
    <definedName name="_xlnm.Print_Area" localSheetId="8">観光!$A$1:$BS$315</definedName>
    <definedName name="_xlnm.Print_Area" localSheetId="0">水道!$A$1:$BS$315</definedName>
    <definedName name="_xlnm.Print_Area" localSheetId="2">病院!$A$1:$BS$315</definedName>
    <definedName name="業種名" localSheetId="3">[1]選択肢!$K$2:$K$19</definedName>
    <definedName name="業種名" localSheetId="6">[2]選択肢!$K$2:$K$19</definedName>
    <definedName name="業種名" localSheetId="7">[3]選択肢!$K$2:$K$19</definedName>
    <definedName name="業種名" localSheetId="4">[4]選択肢!$K$2:$K$19</definedName>
    <definedName name="業種名" localSheetId="5">[5]選択肢!$K$2:$K$19</definedName>
    <definedName name="業種名" localSheetId="10">[6]選択肢!$K$2:$K$19</definedName>
    <definedName name="業種名" localSheetId="9">[7]選択肢!$K$2:$K$19</definedName>
    <definedName name="業種名" localSheetId="12">[8]選択肢!$K$2:$K$19</definedName>
    <definedName name="業種名" localSheetId="11">[9]選択肢!$K$2:$K$19</definedName>
    <definedName name="業種名" localSheetId="1">[10]選択肢!$K$2:$K$19</definedName>
    <definedName name="業種名" localSheetId="8">[11]選択肢!$K$2:$K$19</definedName>
    <definedName name="業種名" localSheetId="2">[12]選択肢!$K$2:$K$19</definedName>
    <definedName name="業種名">[13]選択肢!$K$2:$K$19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3" l="1"/>
  <c r="AM283" i="13"/>
  <c r="U283" i="13"/>
  <c r="N283" i="13"/>
  <c r="N277" i="13"/>
  <c r="BN274" i="13"/>
  <c r="BJ274" i="13"/>
  <c r="BF274" i="13"/>
  <c r="AU273" i="13"/>
  <c r="AM273" i="13"/>
  <c r="BF271" i="13"/>
  <c r="U271" i="13"/>
  <c r="N271" i="13"/>
  <c r="AM260" i="13"/>
  <c r="U260" i="13"/>
  <c r="N260" i="13"/>
  <c r="AY256" i="13"/>
  <c r="AQ256" i="13"/>
  <c r="AQ254" i="13"/>
  <c r="N254" i="13"/>
  <c r="AY253" i="13"/>
  <c r="AQ252" i="13"/>
  <c r="BN251" i="13"/>
  <c r="BJ251" i="13"/>
  <c r="BF251" i="13"/>
  <c r="AQ250" i="13"/>
  <c r="BF248" i="13"/>
  <c r="AY248" i="13"/>
  <c r="AQ248" i="13"/>
  <c r="U248" i="13"/>
  <c r="N248" i="13"/>
  <c r="AM236" i="13"/>
  <c r="U236" i="13"/>
  <c r="N236" i="13"/>
  <c r="N230" i="13"/>
  <c r="BN227" i="13"/>
  <c r="BJ227" i="13"/>
  <c r="BF227" i="13"/>
  <c r="BF224" i="13"/>
  <c r="AN224" i="13"/>
  <c r="U224" i="13"/>
  <c r="N224" i="13"/>
  <c r="AM212" i="13"/>
  <c r="U212" i="13"/>
  <c r="N212" i="13"/>
  <c r="N206" i="13"/>
  <c r="BN203" i="13"/>
  <c r="BJ203" i="13"/>
  <c r="BF203" i="13"/>
  <c r="AU203" i="13"/>
  <c r="AM203" i="13"/>
  <c r="BF200" i="13"/>
  <c r="U200" i="13"/>
  <c r="N200" i="13"/>
  <c r="AM188" i="13"/>
  <c r="U188" i="13"/>
  <c r="N188" i="13"/>
  <c r="N182" i="13"/>
  <c r="AU179" i="13"/>
  <c r="AQ179" i="13"/>
  <c r="AM179" i="13"/>
  <c r="AM176" i="13"/>
  <c r="U176" i="13"/>
  <c r="N176" i="13"/>
  <c r="AM164" i="13"/>
  <c r="U164" i="13"/>
  <c r="N164" i="13"/>
  <c r="AK159" i="13"/>
  <c r="AC159" i="13"/>
  <c r="U159" i="13"/>
  <c r="N158" i="13"/>
  <c r="BA153" i="13"/>
  <c r="AS153" i="13"/>
  <c r="AK153" i="13"/>
  <c r="AC153" i="13"/>
  <c r="U153" i="13"/>
  <c r="AC147" i="13"/>
  <c r="U147" i="13"/>
  <c r="BX142" i="13"/>
  <c r="BN142" i="13"/>
  <c r="BJ142" i="13"/>
  <c r="BF142" i="13"/>
  <c r="U141" i="13"/>
  <c r="BF139" i="13"/>
  <c r="AM139" i="13"/>
  <c r="N139" i="13"/>
  <c r="AM127" i="13"/>
  <c r="U127" i="13"/>
  <c r="N127" i="13"/>
  <c r="AY122" i="13"/>
  <c r="AS122" i="13"/>
  <c r="AM122" i="13"/>
  <c r="U122" i="13"/>
  <c r="N119" i="13"/>
  <c r="U117" i="13"/>
  <c r="BN113" i="13"/>
  <c r="BJ113" i="13"/>
  <c r="BF113" i="13"/>
  <c r="U112" i="13"/>
  <c r="N112" i="13"/>
  <c r="BF110" i="13"/>
  <c r="AM110" i="13"/>
  <c r="AM98" i="13"/>
  <c r="U98" i="13"/>
  <c r="N98" i="13"/>
  <c r="AC93" i="13"/>
  <c r="U93" i="13"/>
  <c r="N92" i="13"/>
  <c r="BN89" i="13"/>
  <c r="BJ89" i="13"/>
  <c r="BF89" i="13"/>
  <c r="AC88" i="13"/>
  <c r="U88" i="13"/>
  <c r="BF86" i="13"/>
  <c r="AM86" i="13"/>
  <c r="N86" i="13"/>
  <c r="AM74" i="13"/>
  <c r="U74" i="13"/>
  <c r="N74" i="13"/>
  <c r="N68" i="13"/>
  <c r="BN65" i="13"/>
  <c r="BJ65" i="13"/>
  <c r="BF65" i="13"/>
  <c r="AU65" i="13"/>
  <c r="AM65" i="13"/>
  <c r="BF62" i="13"/>
  <c r="U62" i="13"/>
  <c r="N62" i="13"/>
  <c r="AM51" i="13"/>
  <c r="U51" i="13"/>
  <c r="N51" i="13"/>
  <c r="AM47" i="13"/>
  <c r="AM46" i="13"/>
  <c r="AM45" i="13"/>
  <c r="AM44" i="13"/>
  <c r="N44" i="13"/>
  <c r="AM43" i="13"/>
  <c r="AM42" i="13"/>
  <c r="BN39" i="13"/>
  <c r="BJ39" i="13"/>
  <c r="BF39" i="13"/>
  <c r="AU38" i="13"/>
  <c r="AM38" i="13"/>
  <c r="BF36" i="13"/>
  <c r="U36" i="13"/>
  <c r="N36" i="13"/>
  <c r="BB24" i="13"/>
  <c r="AT24" i="13"/>
  <c r="AM24" i="13"/>
  <c r="AF24" i="13"/>
  <c r="Y24" i="13"/>
  <c r="R24" i="13"/>
  <c r="K24" i="13"/>
  <c r="D24" i="13"/>
  <c r="BG11" i="13"/>
  <c r="AO11" i="13"/>
  <c r="U11" i="13"/>
  <c r="C11" i="13"/>
  <c r="D296" i="12"/>
  <c r="AM283" i="12"/>
  <c r="U283" i="12"/>
  <c r="N283" i="12"/>
  <c r="N277" i="12"/>
  <c r="BN274" i="12"/>
  <c r="BJ274" i="12"/>
  <c r="BF274" i="12"/>
  <c r="AU273" i="12"/>
  <c r="AM273" i="12"/>
  <c r="BF271" i="12"/>
  <c r="U271" i="12"/>
  <c r="N271" i="12"/>
  <c r="AM260" i="12"/>
  <c r="U260" i="12"/>
  <c r="N260" i="12"/>
  <c r="AY256" i="12"/>
  <c r="AQ256" i="12"/>
  <c r="AQ254" i="12"/>
  <c r="N254" i="12"/>
  <c r="AY253" i="12"/>
  <c r="AQ252" i="12"/>
  <c r="BN251" i="12"/>
  <c r="BJ251" i="12"/>
  <c r="BF251" i="12"/>
  <c r="AQ250" i="12"/>
  <c r="BF248" i="12"/>
  <c r="AY248" i="12"/>
  <c r="AQ248" i="12"/>
  <c r="U248" i="12"/>
  <c r="N248" i="12"/>
  <c r="AM236" i="12"/>
  <c r="U236" i="12"/>
  <c r="N236" i="12"/>
  <c r="N230" i="12"/>
  <c r="BN227" i="12"/>
  <c r="BJ227" i="12"/>
  <c r="BF227" i="12"/>
  <c r="BF224" i="12"/>
  <c r="AN224" i="12"/>
  <c r="U224" i="12"/>
  <c r="N224" i="12"/>
  <c r="AM212" i="12"/>
  <c r="U212" i="12"/>
  <c r="N212" i="12"/>
  <c r="N206" i="12"/>
  <c r="BN203" i="12"/>
  <c r="BJ203" i="12"/>
  <c r="BF203" i="12"/>
  <c r="AU203" i="12"/>
  <c r="AM203" i="12"/>
  <c r="BF200" i="12"/>
  <c r="U200" i="12"/>
  <c r="N200" i="12"/>
  <c r="AM188" i="12"/>
  <c r="U188" i="12"/>
  <c r="N188" i="12"/>
  <c r="N182" i="12"/>
  <c r="AU179" i="12"/>
  <c r="AQ179" i="12"/>
  <c r="AM179" i="12"/>
  <c r="AM176" i="12"/>
  <c r="U176" i="12"/>
  <c r="N176" i="12"/>
  <c r="AM164" i="12"/>
  <c r="U164" i="12"/>
  <c r="N164" i="12"/>
  <c r="AK159" i="12"/>
  <c r="AC159" i="12"/>
  <c r="U159" i="12"/>
  <c r="N158" i="12"/>
  <c r="BA153" i="12"/>
  <c r="AS153" i="12"/>
  <c r="AK153" i="12"/>
  <c r="AC153" i="12"/>
  <c r="U153" i="12"/>
  <c r="AC147" i="12"/>
  <c r="U147" i="12"/>
  <c r="BX142" i="12"/>
  <c r="BN142" i="12"/>
  <c r="BJ142" i="12"/>
  <c r="BF142" i="12"/>
  <c r="U141" i="12"/>
  <c r="BF139" i="12"/>
  <c r="AM139" i="12"/>
  <c r="N139" i="12"/>
  <c r="AM127" i="12"/>
  <c r="U127" i="12"/>
  <c r="N127" i="12"/>
  <c r="AY122" i="12"/>
  <c r="AS122" i="12"/>
  <c r="AM122" i="12"/>
  <c r="U122" i="12"/>
  <c r="N119" i="12"/>
  <c r="U117" i="12"/>
  <c r="BN113" i="12"/>
  <c r="BJ113" i="12"/>
  <c r="BF113" i="12"/>
  <c r="U112" i="12"/>
  <c r="N112" i="12"/>
  <c r="BF110" i="12"/>
  <c r="AM110" i="12"/>
  <c r="AM98" i="12"/>
  <c r="U98" i="12"/>
  <c r="N98" i="12"/>
  <c r="AC93" i="12"/>
  <c r="U93" i="12"/>
  <c r="N92" i="12"/>
  <c r="BN89" i="12"/>
  <c r="BJ89" i="12"/>
  <c r="BF89" i="12"/>
  <c r="AC88" i="12"/>
  <c r="U88" i="12"/>
  <c r="BF86" i="12"/>
  <c r="AM86" i="12"/>
  <c r="N86" i="12"/>
  <c r="AM74" i="12"/>
  <c r="U74" i="12"/>
  <c r="N74" i="12"/>
  <c r="N68" i="12"/>
  <c r="BN65" i="12"/>
  <c r="BJ65" i="12"/>
  <c r="BF65" i="12"/>
  <c r="AU65" i="12"/>
  <c r="AM65" i="12"/>
  <c r="BF62" i="12"/>
  <c r="U62" i="12"/>
  <c r="N62" i="12"/>
  <c r="AM51" i="12"/>
  <c r="U51" i="12"/>
  <c r="N51" i="12"/>
  <c r="AM47" i="12"/>
  <c r="AM46" i="12"/>
  <c r="AM45" i="12"/>
  <c r="AM44" i="12"/>
  <c r="N44" i="12"/>
  <c r="AM43" i="12"/>
  <c r="AM42" i="12"/>
  <c r="BN39" i="12"/>
  <c r="BJ39" i="12"/>
  <c r="BF39" i="12"/>
  <c r="AU38" i="12"/>
  <c r="AM38" i="12"/>
  <c r="BF36" i="12"/>
  <c r="U36" i="12"/>
  <c r="N36" i="12"/>
  <c r="BB24" i="12"/>
  <c r="AT24" i="12"/>
  <c r="AM24" i="12"/>
  <c r="AF24" i="12"/>
  <c r="Y24" i="12"/>
  <c r="R24" i="12"/>
  <c r="K24" i="12"/>
  <c r="D24" i="12"/>
  <c r="BG11" i="12"/>
  <c r="AO11" i="12"/>
  <c r="U11" i="12"/>
  <c r="C11" i="12"/>
  <c r="D296" i="11"/>
  <c r="AM283" i="11"/>
  <c r="U283" i="11"/>
  <c r="N283" i="11"/>
  <c r="N277" i="11"/>
  <c r="BN274" i="11"/>
  <c r="BJ274" i="11"/>
  <c r="BF274" i="11"/>
  <c r="AU273" i="11"/>
  <c r="AM273" i="11"/>
  <c r="BF271" i="11"/>
  <c r="U271" i="11"/>
  <c r="N271" i="11"/>
  <c r="AM260" i="11"/>
  <c r="U260" i="11"/>
  <c r="N260" i="11"/>
  <c r="AY256" i="11"/>
  <c r="AQ256" i="11"/>
  <c r="AQ254" i="11"/>
  <c r="N254" i="11"/>
  <c r="AY253" i="11"/>
  <c r="AQ252" i="11"/>
  <c r="BN251" i="11"/>
  <c r="BJ251" i="11"/>
  <c r="BF251" i="11"/>
  <c r="AQ250" i="11"/>
  <c r="BF248" i="11"/>
  <c r="AY248" i="11"/>
  <c r="AQ248" i="11"/>
  <c r="U248" i="11"/>
  <c r="N248" i="11"/>
  <c r="AM236" i="11"/>
  <c r="U236" i="11"/>
  <c r="N236" i="11"/>
  <c r="N230" i="11"/>
  <c r="BN227" i="11"/>
  <c r="BJ227" i="11"/>
  <c r="BF227" i="11"/>
  <c r="BF224" i="11"/>
  <c r="AN224" i="11"/>
  <c r="U224" i="11"/>
  <c r="N224" i="11"/>
  <c r="AM212" i="11"/>
  <c r="U212" i="11"/>
  <c r="N212" i="11"/>
  <c r="N206" i="11"/>
  <c r="BN203" i="11"/>
  <c r="BJ203" i="11"/>
  <c r="BF203" i="11"/>
  <c r="AU203" i="11"/>
  <c r="AM203" i="11"/>
  <c r="BF200" i="11"/>
  <c r="U200" i="11"/>
  <c r="N200" i="11"/>
  <c r="AM188" i="11"/>
  <c r="U188" i="11"/>
  <c r="N188" i="11"/>
  <c r="N182" i="11"/>
  <c r="AU179" i="11"/>
  <c r="AQ179" i="11"/>
  <c r="AM179" i="11"/>
  <c r="AM176" i="11"/>
  <c r="U176" i="11"/>
  <c r="N176" i="11"/>
  <c r="AM164" i="11"/>
  <c r="U164" i="11"/>
  <c r="N164" i="11"/>
  <c r="AK159" i="11"/>
  <c r="AC159" i="11"/>
  <c r="U159" i="11"/>
  <c r="N158" i="11"/>
  <c r="BA153" i="11"/>
  <c r="AS153" i="11"/>
  <c r="AK153" i="11"/>
  <c r="AC153" i="11"/>
  <c r="U153" i="11"/>
  <c r="AC147" i="11"/>
  <c r="U147" i="11"/>
  <c r="BX142" i="11"/>
  <c r="BN142" i="11"/>
  <c r="BJ142" i="11"/>
  <c r="BF142" i="11"/>
  <c r="U141" i="11"/>
  <c r="BF139" i="11"/>
  <c r="AM139" i="11"/>
  <c r="N139" i="11"/>
  <c r="AM127" i="11"/>
  <c r="U127" i="11"/>
  <c r="N127" i="11"/>
  <c r="AY122" i="11"/>
  <c r="AS122" i="11"/>
  <c r="AM122" i="11"/>
  <c r="U122" i="11"/>
  <c r="N119" i="11"/>
  <c r="U117" i="11"/>
  <c r="BN113" i="11"/>
  <c r="BJ113" i="11"/>
  <c r="BF113" i="11"/>
  <c r="U112" i="11"/>
  <c r="N112" i="11"/>
  <c r="BF110" i="11"/>
  <c r="AM110" i="11"/>
  <c r="AM98" i="11"/>
  <c r="U98" i="11"/>
  <c r="N98" i="11"/>
  <c r="AC93" i="11"/>
  <c r="U93" i="11"/>
  <c r="N92" i="11"/>
  <c r="BN89" i="11"/>
  <c r="BJ89" i="11"/>
  <c r="BF89" i="11"/>
  <c r="AC88" i="11"/>
  <c r="U88" i="11"/>
  <c r="BF86" i="11"/>
  <c r="AM86" i="11"/>
  <c r="N86" i="11"/>
  <c r="AM74" i="11"/>
  <c r="U74" i="11"/>
  <c r="N74" i="11"/>
  <c r="N68" i="11"/>
  <c r="BN65" i="11"/>
  <c r="BJ65" i="11"/>
  <c r="BF65" i="11"/>
  <c r="AU65" i="11"/>
  <c r="AM65" i="11"/>
  <c r="BF62" i="11"/>
  <c r="U62" i="11"/>
  <c r="N62" i="11"/>
  <c r="AM51" i="11"/>
  <c r="U51" i="11"/>
  <c r="N51" i="11"/>
  <c r="AM47" i="11"/>
  <c r="AM46" i="11"/>
  <c r="AM45" i="11"/>
  <c r="AM44" i="11"/>
  <c r="N44" i="11"/>
  <c r="AM43" i="11"/>
  <c r="AM42" i="11"/>
  <c r="BN39" i="11"/>
  <c r="BJ39" i="11"/>
  <c r="BF39" i="11"/>
  <c r="AU38" i="11"/>
  <c r="AM38" i="11"/>
  <c r="BF36" i="11"/>
  <c r="U36" i="11"/>
  <c r="N36" i="11"/>
  <c r="BB24" i="11"/>
  <c r="AT24" i="11"/>
  <c r="AM24" i="11"/>
  <c r="AF24" i="11"/>
  <c r="Y24" i="11"/>
  <c r="R24" i="11"/>
  <c r="K24" i="11"/>
  <c r="D24" i="11"/>
  <c r="BG11" i="11"/>
  <c r="AO11" i="11"/>
  <c r="U11" i="11"/>
  <c r="C11" i="11"/>
  <c r="D296" i="10"/>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U62" i="7" l="1"/>
  <c r="D296" i="7"/>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<sst xmlns="http://schemas.openxmlformats.org/spreadsheetml/2006/main" count="2431" uniqueCount="85">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</sst>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12" fillId="2" borderId="0" xfId="0" applyFont="1" applyFill="1" applyAlignment="1"/>
    <xf numFmtId="0" fontId="12" fillId="2" borderId="6" xfId="0" applyFont="1" applyFill="1" applyBorder="1" applyAlignment="1"/>
    <xf numFmtId="0" fontId="13" fillId="2" borderId="0" xfId="0" applyFont="1" applyFill="1">
      <alignment vertical="center"/>
    </xf>
    <xf numFmtId="0" fontId="15" fillId="0" borderId="0" xfId="0" applyFont="1" applyAlignment="1"/>
    <xf numFmtId="0" fontId="16" fillId="2" borderId="0" xfId="0" applyFont="1" applyFill="1">
      <alignment vertical="center"/>
    </xf>
    <xf numFmtId="0" fontId="17" fillId="2" borderId="0" xfId="0" applyFont="1" applyFill="1">
      <alignment vertical="center"/>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22" fillId="2" borderId="0" xfId="0" applyFont="1" applyFill="1" applyAlignment="1">
      <alignment vertical="center" wrapText="1"/>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26" fillId="2" borderId="0" xfId="0" applyFont="1" applyFill="1">
      <alignment vertical="center"/>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19" fillId="2" borderId="6" xfId="0" applyFont="1" applyFill="1" applyBorder="1">
      <alignment vertical="center"/>
    </xf>
    <xf numFmtId="0" fontId="13" fillId="2" borderId="8" xfId="0" applyFont="1" applyFill="1" applyBorder="1" applyAlignment="1">
      <alignment horizontal="center" vertical="center"/>
    </xf>
    <xf numFmtId="0" fontId="15" fillId="2" borderId="0" xfId="0" applyFont="1" applyFill="1" applyAlignment="1">
      <alignment horizontal="left" vertical="center" wrapText="1"/>
    </xf>
    <xf numFmtId="0" fontId="23" fillId="2" borderId="0" xfId="0" applyFont="1" applyFill="1" applyAlignment="1">
      <alignment horizontal="left" vertical="center"/>
    </xf>
    <xf numFmtId="0" fontId="11" fillId="2" borderId="0" xfId="0" applyFont="1" applyFill="1">
      <alignment vertical="center"/>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1" fillId="0" borderId="0" xfId="0" applyFont="1" applyAlignment="1">
      <alignment horizontal="left" vertical="center" wrapTex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6" xfId="0" applyFont="1" applyBorder="1" applyAlignment="1">
      <alignment horizontal="center" vertical="center" shrinkToFit="1"/>
    </xf>
    <xf numFmtId="0" fontId="17" fillId="0" borderId="9" xfId="0" applyFont="1" applyBorder="1" applyAlignment="1">
      <alignment horizontal="center"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5" fillId="2" borderId="10" xfId="0" applyFont="1" applyFill="1" applyBorder="1" applyAlignment="1">
      <alignment horizontal="left" wrapText="1"/>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16" fillId="0" borderId="1" xfId="0" quotePrefix="1" applyFont="1" applyBorder="1" applyAlignment="1">
      <alignment horizontal="center" vertical="center" wrapText="1"/>
    </xf>
    <xf numFmtId="0" fontId="15" fillId="2" borderId="3" xfId="0" applyFont="1" applyFill="1" applyBorder="1" applyAlignment="1">
      <alignment horizontal="left" wrapText="1"/>
    </xf>
    <xf numFmtId="0" fontId="15" fillId="2" borderId="8" xfId="0" applyFont="1" applyFill="1" applyBorder="1" applyAlignment="1">
      <alignment horizontal="left"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13" fillId="0" borderId="1" xfId="0" applyFont="1" applyBorder="1" applyAlignment="1">
      <alignment horizontal="center" vertical="center"/>
    </xf>
    <xf numFmtId="0" fontId="13" fillId="0" borderId="11" xfId="0" applyFont="1" applyBorder="1" applyAlignment="1">
      <alignment horizontal="center" vertical="center"/>
    </xf>
    <xf numFmtId="0" fontId="15" fillId="2" borderId="0" xfId="0" applyFont="1" applyFill="1" applyAlignment="1">
      <alignment horizontal="left" wrapTex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13"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6" xfId="0" applyFont="1" applyBorder="1" applyAlignment="1">
      <alignment horizontal="center" vertical="center" wrapText="1"/>
    </xf>
    <xf numFmtId="0" fontId="27" fillId="0" borderId="6" xfId="0" applyFont="1" applyBorder="1" applyAlignment="1">
      <alignment horizontal="center" vertical="center" wrapText="1"/>
    </xf>
    <xf numFmtId="0" fontId="23" fillId="0" borderId="1" xfId="0" applyFont="1" applyBorder="1" applyAlignment="1">
      <alignment horizontal="center" vertical="center" wrapText="1" shrinkToFit="1"/>
    </xf>
    <xf numFmtId="0" fontId="24" fillId="0" borderId="10" xfId="0" applyFont="1" applyBorder="1">
      <alignment vertical="center"/>
    </xf>
    <xf numFmtId="0" fontId="24" fillId="0" borderId="12" xfId="0" applyFont="1" applyBorder="1">
      <alignment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5" fillId="0" borderId="10" xfId="0" applyFont="1" applyBorder="1">
      <alignment vertical="center"/>
    </xf>
    <xf numFmtId="0" fontId="25" fillId="0" borderId="12" xfId="0" applyFont="1" applyBorder="1">
      <alignment vertical="center"/>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0" fillId="0" borderId="3" xfId="0" applyBorder="1">
      <alignment vertical="center"/>
    </xf>
    <xf numFmtId="0" fontId="0" fillId="0" borderId="4"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3" fillId="0" borderId="1" xfId="0" applyFont="1" applyBorder="1" applyAlignment="1">
      <alignment horizontal="center" vertical="center" shrinkToFi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2" xfId="0" applyFont="1" applyBorder="1" applyAlignment="1">
      <alignment horizontal="center" vertical="center" shrinkToFit="1"/>
    </xf>
  </cellXfs>
  <cellStyles count="1">
    <cellStyle name="標準" xfId="0" builtinId="0"/>
  </cellStyles>
  <dxfs count="2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5.xml" />
  <Relationship Id="rId26" Type="http://schemas.openxmlformats.org/officeDocument/2006/relationships/externalLink" Target="externalLinks/externalLink13.xml" />
  <Relationship Id="rId3" Type="http://schemas.openxmlformats.org/officeDocument/2006/relationships/worksheet" Target="worksheets/sheet3.xml" />
  <Relationship Id="rId21" Type="http://schemas.openxmlformats.org/officeDocument/2006/relationships/externalLink" Target="externalLinks/externalLink8.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4.xml" />
  <Relationship Id="rId25" Type="http://schemas.openxmlformats.org/officeDocument/2006/relationships/externalLink" Target="externalLinks/externalLink12.xml" />
  <Relationship Id="rId2" Type="http://schemas.openxmlformats.org/officeDocument/2006/relationships/worksheet" Target="worksheets/sheet2.xml" />
  <Relationship Id="rId16" Type="http://schemas.openxmlformats.org/officeDocument/2006/relationships/externalLink" Target="externalLinks/externalLink3.xml" />
  <Relationship Id="rId20" Type="http://schemas.openxmlformats.org/officeDocument/2006/relationships/externalLink" Target="externalLinks/externalLink7.xml" />
  <Relationship Id="rId29"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externalLink" Target="externalLinks/externalLink11.xml" />
  <Relationship Id="rId5" Type="http://schemas.openxmlformats.org/officeDocument/2006/relationships/worksheet" Target="worksheets/sheet5.xml" />
  <Relationship Id="rId15" Type="http://schemas.openxmlformats.org/officeDocument/2006/relationships/externalLink" Target="externalLinks/externalLink2.xml" />
  <Relationship Id="rId23" Type="http://schemas.openxmlformats.org/officeDocument/2006/relationships/externalLink" Target="externalLinks/externalLink10.xml" />
  <Relationship Id="rId28"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externalLink" Target="externalLinks/externalLink6.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1.xml" />
  <Relationship Id="rId22" Type="http://schemas.openxmlformats.org/officeDocument/2006/relationships/externalLink" Target="externalLinks/externalLink9.xml" />
  <Relationship Id="rId27" Type="http://schemas.openxmlformats.org/officeDocument/2006/relationships/theme" Target="theme/theme1.xml" />
  <Relationship Id="rId30"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8DA0EA5-FDBC-4EFA-BB14-038E6BF299FC}"/>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6E2083-6DA8-4949-A4F1-AB799E7E39C4}"/>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AF0F30D-708E-42C5-99BB-45444222B153}"/>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91E40E7B-F719-4E16-8356-6F71F92FEE2F}"/>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2E6E3F3-1EF7-4AAB-8D5E-735AF7374200}"/>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CAB27CB-0FBE-4A88-89D3-A99EFEC405BE}"/>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6F450C9-75EC-4308-87FC-8A12B20275F6}"/>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1EF9DB8-14B4-47B6-BF0C-97584DA153F8}"/>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081040B-7341-464B-BD3B-951561C3D478}"/>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9D58D73-A707-47D6-8954-C207EFF3ADF3}"/>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9FD4446-3CE3-44E5-B2E2-6C7FE0235AD5}"/>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EFE92EF-A1FB-42D9-AF09-321A90E7F333}"/>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6E0F674-F128-4B38-9D0C-57A79175D0C0}"/>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D8BFACB-C9BF-4F49-9D68-7EDEB81D771C}"/>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4F55C26-FBCD-4289-B360-BD044391D19E}"/>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867EBFC-C7F2-4F06-A8F9-95E53537B61B}"/>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39F2C749-567C-48A4-883C-017F36DFF3C6}"/>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A021B18-93B0-4932-B49C-BB1BDC85BF68}"/>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9B7A8AE-EE07-4D35-8157-56673273AD1E}"/>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F1DDD34-9773-4E69-9018-7AD26749F9CD}"/>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9816B2A-BD29-4B2D-A30B-37359C4DE51B}"/>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7430A3E3-6553-496A-A049-06445349F7B8}"/>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75F242C-4A0A-44D8-80E7-42CB09A65C24}"/>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4C2C564-FD41-4237-9268-6BE2AB0433C2}"/>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59C2FF2-3257-4FBE-8029-EAA90D42A0D6}"/>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1C47217-87C6-42FD-AA14-0FBF58985B8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4E681BD-62DE-46B2-9A18-92158BC671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465B4BF-DAEB-40C5-9B40-3661DDD52242}"/>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CA40996-5FEA-4914-9F9D-F3C1E77596B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739FF57-37DF-4572-AFB9-B88EC60A3AA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D5D23AE-1502-4F53-82E9-3F759B440CD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5930B8C-BD79-4445-95FC-E3CD87E2D3B7}"/>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162D0AB-602E-40BA-9041-98436AA7177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7B0DF84-1BAA-4A80-AE5D-FBE30C9A930E}"/>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F99C9B4-47FA-4CAB-B187-ECA39CB4566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BC7FBC3-5CA4-49CD-B738-91042BB6001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87323C9-F2F7-45B2-93FF-760FAA9BAE9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291C54F-27FF-4AB7-A46A-D863782B7B0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BE758C7-FB74-40B4-A4FB-D62967674D2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4D34CFC-903C-4FCA-A32E-19D02C05EF41}"/>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2101EBA-FA51-4A01-8569-D97AA29FB2C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5236B44-B1AD-4F04-93C5-0B0FC061388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67015EE-A21C-46AA-9F18-982B1DADE53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EE5C037-95EE-48C7-BD2C-A5F1DE6E45E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B963348-8FED-4512-BC07-A73F0A77972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BE746E0-44CD-4DCF-8564-34D19854B52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0ED7696-9C06-4FB6-A8F1-55CEA4DF6D06}"/>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BFC6FD1-2231-4692-BDCB-600DB5A2DF78}"/>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C41B86F-650F-48DC-87F3-FE4A6A72123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323F8B8-183E-43A5-AE52-9DFC8167EFB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A41A72E-520A-4B85-99EB-140A00C8EC39}"/>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913A209-BFCE-43E1-814F-899B76625575}"/>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9E4C7E9-ABA5-4CD5-A247-092691D9948B}"/>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06820A2-DDBD-4FB0-AE4F-C4B98CFF0299}"/>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589EA20-B6A4-49DC-A31E-9FE1F0FF869A}"/>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8B73A01-F8D4-4C36-823B-754DCD7D4547}"/>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6BC0875-D3A8-4A32-BAF6-34DC6A382609}"/>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187FA97-8E82-4CAB-B598-AA6B3B0405D1}"/>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412407C-D24A-47FD-BC22-4205E811F2D5}"/>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E2E9724-E304-4ABD-92F4-1D559984F593}"/>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B524292-772C-4488-9F40-978776770A8D}"/>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F52C9A7-1383-4526-83B8-85AE004B7363}"/>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B0EF50B0-166E-4446-803F-4A512162D134}"/>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CD9F345-53E7-4BA8-955F-FDF6254D15F7}"/>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167E575-52E1-4627-A702-BDC840ACC110}"/>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6AF2C33-50C4-49C3-AF58-6EE9A4A93125}"/>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485B35B-45C0-4097-95B6-530CF3C76979}"/>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07C87F6-A0D1-4253-8943-85E6D4A49EAC}"/>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A2FBA58-38B8-4FCD-8A4B-D5ADF2F466B6}"/>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318871D-75DE-4107-AC92-C14A981638BF}"/>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672AFA0-8A25-414C-9CE8-382B53714B8B}"/>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435D5D4-4378-480B-BC1C-BC8D7FD4C633}"/>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5B97E8A-EC9A-4A86-BA6C-15F284F9DDD7}"/>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D58B1F4-DB01-4D83-BB2B-BB66FD157A4E}"/>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A084630-DA98-412F-AA1E-32492AF5DC66}"/>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93D9E02-FEA0-4D77-9C72-7B6F50A6A4D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611AD4A-03D8-40E3-AE93-ECD4FAE24D4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B003A4A-27DB-4EAE-B284-1A99A1AB93C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ABD820B-B826-413A-B431-7AF0C05EF68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1489C23-B9C1-4D2F-B2C8-1C64ED73F9D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B61AA57-48BD-4C89-A2B8-E6CD94DA1FF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F1821BA-C158-4B68-B0CB-E02E16BD585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5A34620-89BB-48D0-8970-370E9E1C6AC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76F6612-9C4C-4177-B8CF-A1A02C4CAB0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286C51E-2175-46E3-B260-8EEC3E71ADC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3A5E56B-0911-48CF-A3B6-001DAC2374D4}"/>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DFB7F2B-9522-4958-988E-BCA4E12A8657}"/>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7ED2DF9-7D76-4BDF-8579-12A07C16409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508D383-264C-498F-B839-02AC0EE677C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C30E6B0-FE4B-4E2F-83BD-1E2F2AB1C07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F70757D-6BF7-48D4-80D2-CFA4680C7375}"/>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72F6DB4-2F65-4A53-B5FF-29BEB5A292A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E245BB1-44DC-4D67-B249-FEBF16395A2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2E52219-19FE-482B-BA8F-90DC556483C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22D8F8B-B6B7-48B4-9CF8-C4108DD333C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7D511C6A-DA09-4D1B-BAFA-37BB2EFC7327}"/>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A38ED9C-7366-45AA-A49C-1B44AAA5404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B79709C-1C59-478C-86D9-44CB3B2C19A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3F6CD422-4997-4143-B301-474C6F072F3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C8461B1-5FC1-4164-9E10-EA6D1135C1A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8B7245D-D07B-4F30-897C-C6540DA2A8D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BC18F2A-7ED1-4ED7-8630-5E3768FA079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E9F082C-01BF-4738-B50A-8F823F82509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0D154B7-8A2F-430B-BC85-21C19B9A2D5F}"/>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C67B8FA-EECF-464C-BDD1-F2F01232066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4C34B6A-C2FD-4750-8B35-9E494365895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74419C2-FABF-42D2-B684-B9342C00658E}"/>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F51B373-67D5-486B-ABFE-9E3CDDFCCD6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81E40FB-4B5E-485B-BAF8-CF8F78B2BA5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C12FA8C-6F9C-48BE-A340-AA057432F47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1D4EE38-1521-40FB-8063-81E0B2CCD0C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153E4D5-96DA-40BE-B44C-5C53DA556F6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E3AA42E-803D-4823-8043-7728003AC96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C4BCBB4-81D4-4B91-96C4-CC7A0354859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F34F65A-C45C-46A9-A340-577D90EBC3A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6E1B8BC-772A-4452-8DCF-B86CF7DC67EA}"/>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CF58B66-2763-4356-8035-163FBECBFB1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E96AE81-B293-49DA-B2ED-2091EE5262E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416A90E-C8AD-4A21-8057-CA75226D1AC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58684A8-B3D3-4113-AFC9-AE6A80914DC0}"/>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219E1E5-F28B-4B65-8B3E-76C45311165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02EB740-6C2E-4143-96EB-221F0AFA106F}"/>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EC37941-D698-4C8A-A8FF-D65E4251CA8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6EBA45F-F1FC-4028-B41C-D6ACDA53E33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6054277-CDA4-475E-9926-8615A42E6D6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AD34E86-7E88-467B-8E43-4303118557EA}"/>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3EC3F62-9E39-402F-9FF7-6F203D7B59E5}"/>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9CC8EA2-CD47-489F-A47D-288283E27316}"/>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E88AE28-67B9-4C36-BA92-4B9C11A6B2EC}"/>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169D2E7-07D9-4336-B90E-3C6DA46C1432}"/>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4BCFA54-7EFF-4236-9DC6-2D426E2A2764}"/>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EF7F6672-5BBA-4FA7-9C1E-59E88746A44C}"/>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620ED82-A2CA-483B-8191-CF06BD9383D2}"/>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445B77D6-DD9C-4EB7-85DD-9CB5C8A7ABCD}"/>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BFFF316-924E-4CD9-AFE0-BB4935B8683C}"/>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6309E35-5F73-4BD9-991E-F28A3F46C258}"/>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D8F136A-C5FD-418D-94A1-4498C296D85C}"/>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F003F6A-AA67-429C-8048-98FF5A172B96}"/>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2C18F85-1E5F-4577-81D0-A81000834F76}"/>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7F66788-B333-4FE8-855F-C6FF642E7195}"/>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D4978A9-210D-4B01-8FCB-FF42B0A8B83B}"/>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ACAA732-9DA5-4DF8-8223-ECF838CEA107}"/>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8AC2CD1-29EE-4C97-941D-C99C571D6288}"/>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48E9EBF-AC5B-4749-97AC-59A6D4B4B859}"/>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23CC06C-7F3D-4A22-A25F-79C509346A19}"/>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2058401-E260-41B3-B30E-366BE019A265}"/>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33A71B4-0CAE-4925-B12E-EF56B5D44DB9}"/>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E25D285-B3BB-4BBD-8434-2D01FF83937F}"/>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D7211C5-1218-4582-BF95-21FC7E675B3E}"/>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7167F72-1E5C-4933-9819-989807826D35}"/>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6831764-069E-4484-B59F-B4FEAA455EA9}"/>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8861DF2-7881-4E23-8923-07F8073F2481}"/>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409D155-CDBC-4D26-966A-15A4BF1CA2EF}"/>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8E46082-2CBB-42A3-AAEA-467830A03D4A}"/>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E78C425-9C6E-469C-803D-3F57665EFE05}"/>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E056D372-AEF7-42F4-9BE5-3851350CA494}"/>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39BD4EB-0AAD-4C68-B4E3-7C152C4E967F}"/>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CA7870E-B097-48D5-82CD-7DAE0616FE9C}"/>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8313701-DA1C-4091-BC7A-21F5FF27BF1A}"/>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789788F-1969-499F-BC9D-85E43BE85548}"/>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3E0C87F-CEBF-4AB2-92CF-14631709389E}"/>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32B7F62-3C62-4053-92B9-BAE07442A044}"/>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AC4E934-B3CA-41D4-9DCB-257CF5D4B63E}"/>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37C2F90-A297-45CD-81C4-ABA29A1397CE}"/>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9ABE7FC4-E53A-4EC8-96DE-9D35768ED8B3}"/>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9BD06DD-0F1A-40F2-8BF8-EB4E82169087}"/>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962B3E4-BDD9-40B5-BE3A-CACF9F0A57DA}"/>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B027E1F-6B9D-431B-8158-253311098D16}"/>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318DE8F-3862-4FF8-A5A6-029E6A6EA765}"/>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F92143A-9329-4AF8-B3B2-AC22F477A94B}"/>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94B0833-5B24-42B5-AB64-513B2662B4C6}"/>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98F5964-EBF8-4FFF-A6A7-B287A6E23B5B}"/>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5E1C78A-0168-4E09-88B7-66F1B5C13CD6}"/>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0C62568-A5AD-4F7D-93DD-3CF87D591D6A}"/>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D188587-9FDF-4E54-8965-69B2B3869D9C}"/>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1C6A3C3-D804-4D18-8CE1-C8D77E90011E}"/>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ADC00C9-B6EA-4471-8FB9-702F2342F761}"/>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275BE66-131F-4DBD-A1F7-6FA49515B9EC}"/>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DA0CFFF-FF46-44AD-9F57-0121E65C3024}"/>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8D95A75-69AE-40AD-A617-4810D3198424}"/>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CEEDE2A-CD1C-4E54-8C15-A90A9A80E211}"/>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C60962D-32FE-4397-A800-EA7AF1A59EB0}"/>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68378C1-EA02-4AF6-AEF6-17C1673A618B}"/>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D122017-FF5F-494C-8E50-CA38F2DB63D7}"/>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883A7A11-58FC-4E9A-B0D0-10751A6FA603}"/>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031EF78-FDE0-46C3-9CEE-A964C9207EE2}"/>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C5226BD-617E-48FC-884F-6ABFD3DA13C6}"/>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8A2DBE2-4B62-4739-8F4F-2C1F8F73252F}"/>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E636FCD-5DAC-4261-8D3C-FCF9CB1794FB}"/>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D575E78-E040-4B85-A879-14D4385AD7D5}"/>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8A96E0E-51C1-438F-9203-6BF1A36D3B77}"/>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F78A062-854E-4FD8-93A1-4FCCD59CACDD}"/>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09FB01E-3389-455F-83A2-B8DDAD029CF4}"/>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B264418D-54BB-4FAC-AF3F-F0EA663AF960}"/>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BBD5713-F12B-402A-BF49-ECB158E47031}"/>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765D0FF-C929-4302-BFFC-905B3E82AE8E}"/>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FA5CACA-0FD1-4583-B8DF-ECA33D3D01E4}"/>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55A6671-F63A-47D2-8522-F86BFAE62375}"/>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81CADBD-AD86-4F51-98D6-8BDA5C3245EA}"/>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42EDF4C-A184-45B2-ADF0-D0191DB109E9}"/>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D62545E-6281-4B10-95AE-C13FAC35A4AA}"/>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C28C129-BC09-4317-BE4A-3BD9F0F4621A}"/>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F3DA585-4D0A-44B6-8502-3FBC9BB7BCC1}"/>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E490EE9-FB0A-409A-BD4A-459C2C7D359F}"/>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1F451F6-64CE-4445-A350-FBAE43D0F032}"/>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F270F5D-3868-4ED9-A271-FBFE337D8A62}"/>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3AD07E4-3B97-488E-BE84-BC9DB3920EEC}"/>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94DFDDF-D4A1-426B-9639-F3A1336BE475}"/>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9C95CA6-F052-4BF2-BA61-1EE2A21D90F2}"/>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A998D58-C338-4C9F-8729-D979A9902803}"/>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7F36110-6D37-4943-812D-B3988E0F2D84}"/>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B3B2CE4-9F16-4841-9D86-ED8ED1080555}"/>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5580DBB-1A72-4A9F-9AA3-276D2655D35A}"/>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8FEEA48-3BCF-4BA4-A5C9-6A26A49009DF}"/>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E2D7FDC1-8604-425E-B881-77693BDF4787}"/>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43AC796-33D9-4B01-B591-CFD4EF797AB0}"/>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5A4C9F9-0E4D-467B-BAEE-E56F4864C874}"/>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CCFCD8E-4884-4DF8-B54C-4BC2DE52D0B8}"/>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8B41A81-5E7A-4530-97D6-0C45E86C400C}"/>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3999228-7FA3-47D0-B3FA-92BE643CDBA4}"/>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453A264-1425-4312-A99B-67F5B43E49DE}"/>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73D3F22-AF81-42A9-87F3-94BEAF6E7EC8}"/>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B447BDD-1301-4CB8-93F9-79F14ACAF53A}"/>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1742293-EEE0-47F4-83FE-12FD095CD9A5}"/>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DACA407-C6C1-460D-A5E2-151B2381DD6E}"/>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4605EDF-D444-41FB-BD4C-2FAC4E085A28}"/>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C186C3B-BBBC-4A0D-92FB-3695CECF64FE}"/>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47A28A3-9D5B-4650-B211-712B12A79B43}"/>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12F65F5-42C9-4CF6-9E28-BC478BBE5506}"/>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52CB204-45A7-40D7-973A-BD66F231118E}"/>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6202C22-6786-4B3E-A2ED-02E119CA0B52}"/>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3F2726A-D479-472C-ACF0-AB0EDBE6824A}"/>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5886875-7E88-4C47-B8BF-880CE4ABD670}"/>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D2AF432-3F0E-4A44-BF2A-E814E4ADF726}"/>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474B7D5-1E5E-4123-8889-0146DD866347}"/>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0845F28-F5BE-4202-94A2-8425D5DFC2D3}"/>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C000DD96-43DA-4DC5-9B93-E6DFE932735B}"/>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FA11AA27-D1C6-4F7F-907D-0D1BE47DA423}"/>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2052E02-DA28-4774-B6E0-42484109B626}"/>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E1C4EBA0-7F3A-4D72-951D-592B23437590}"/>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B03A230-157E-4ACB-B24E-96ED979343D0}"/>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1A47237-ED2B-420D-856C-85D08C4E8CC4}"/>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1F8AAC6-83D0-4C2C-ABAE-1B75E4889A6B}"/>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9B0F8E2-9F9E-43E3-8200-7219E24588C1}"/>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83D3A0B-C6A2-4933-84C9-973286E896BA}"/>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2D98437-DE3A-4EAE-8273-EC1B3684BEDC}"/>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C0528C8-CEE7-4B28-B85E-4553A786245C}"/>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AB6EBC5-CF76-4853-815E-503AC0249394}"/>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439903B-5BC2-4403-B709-80C2BB980A38}"/>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9EDE8D2-02D5-4A9A-898D-DB6947930606}"/>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F725FAA-3B71-400C-B299-E87F30598499}"/>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9796A8F-64FF-4CD9-8F8C-4AF457464AA9}"/>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E1B2A14-AAC6-4CB2-986C-0137AEC56065}"/>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C20B118-E865-4698-BBC0-826E22942D48}"/>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131757A-666C-48FA-934B-95AF93C3F336}"/>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4B8E9DE-EC6F-4166-9F85-20CEB4D22E8A}"/>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9DAB496-F8A4-4C0A-B0D7-442D23399637}"/>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3B0716A-61EC-497C-9A41-0FD06A8CC334}"/>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7B115A5-59FD-4B36-97CE-72F68E80A720}"/>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56146C6-BE89-4B6C-A36E-18EA6CE85C30}"/>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2D35D73-F813-4751-A47B-000859CEA775}"/>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0F9031C-656E-41BD-9F6A-D863689B6738}"/>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3F9141D7-C21D-41D2-A587-8A19B1E1A23E}"/>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2800390-A7A8-4DBD-9394-940994C26865}"/>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5F0EEB1-013B-4530-9207-D1404A680572}"/>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77451806-1F2C-42AF-9961-C09716C3905E}"/>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80FB868-4D9B-4C28-8E0C-E4BA854F4D8C}"/>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76480A1-D714-4308-B8BD-022F7BE9E2B8}"/>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12A8D97-528A-457F-9567-4B0DE78C4410}"/>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2222B11-CD5A-4506-B7B6-CEB943AEBC78}"/>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9AD4B0E-C844-4DBA-98D4-103BFBFC93B4}"/>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6CA672F-87F6-4F48-9097-1F8564FA5FB7}"/>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2580B5F-FF94-4A8C-AE5E-8ABB69EA6F2B}"/>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34E2623-E5BB-4036-A2B8-4A3970EA83F9}"/>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86D8C9F-A7E8-48D0-AE7D-4311B97A0302}"/>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0F9B807-4004-4F61-81FD-7E23DDCFF567}"/>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7C343AA-A339-48F9-AA4B-39089CD0432D}"/>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EFFAD0E-9362-4C8F-B6ED-F72A09996399}"/>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1B37D9F-75D7-4DEC-866C-48D1DCB92E05}"/>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9D3C2D0-158E-4679-8A21-189DEE9552A9}"/>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A4019AA-1F36-4ADF-B642-5606D5976332}"/>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7A0B568-AA06-40CA-BEB8-3582FF8610E7}"/>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AB7F9BD-E7C7-459C-B8ED-C110E6DC71D6}"/>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9B2A7E4-4F00-4EB1-A037-F99FD241E222}"/>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BD93C95-1AEB-445F-8985-1D756E99267F}"/>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FE14D68-5E5F-4599-A695-A70F6D40E700}"/>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BAE2888-6EAF-464C-992B-F1F778525D84}"/>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6ACD5D6-7A0D-48FB-844F-994DD0DC7DB9}"/>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5F4E5D7-8290-47F6-A98B-0DD33010311C}"/>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74FD5E2-E7D5-4DA7-A5B5-511FB175CA4F}"/>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49EFC39-9762-4BA3-8A20-7E2CA37469E9}"/>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09A1FEC-A72E-4407-A68A-59DA49B36312}"/>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2872ED4-09B5-4579-803C-F49B27FF518F}"/>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B218B51-1AA6-4770-B271-D5DE162169F3}"/>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6A6039D4-628C-4052-9F30-30383EA2E23B}"/>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5F17D75-35B2-4E16-8242-48991D31D8AC}"/>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77436B6-49FE-455B-A74E-7B604AF2B367}"/>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6EA751A-B7C6-4791-9B17-02C392D44B21}"/>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C73294D-CB36-4E18-A9FB-6B93CC2AB78A}"/>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6AA85A5-948A-4B2E-8AA2-9A5A2E179115}"/>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3632BBD-215A-478C-B40C-70518EB4A623}"/>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8021ACA-E838-49C6-930E-060229E5A95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97097E9-056A-479E-9BA5-B9E289167CF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B15188B-4650-4E30-84C1-7C8768E3544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0FAD496-05CA-42BC-9D96-BC28213E0C6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B42A5FD-DF26-4650-A533-61C16059168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DF7E5D6-6CA5-4752-94BD-FE768B5EB28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A930268-E009-4DFD-B862-BC0D817EA19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B49A9A7-AF7A-4532-9BC1-5914D0BD276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A47896A-58B6-4511-8C89-0D1090BD066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787318B-F061-4A72-B31D-D599A5FCD62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EAEC973-ACDA-44C9-A046-08391DECAFD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F7EF7A0-48D1-4122-B5F6-525D11EBFC1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A486B62-4083-4BC0-A56C-BAC0C63FAD2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15BA171-7835-4995-B384-E7A74528828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6A10371-35F7-4AC5-BF17-B3B9C8DEF39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CF9CC77-50D3-4834-9D45-27FBE32C495B}"/>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F82D74F-497C-4C9B-9A3E-97D94148FD28}"/>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4D10D0F-DB83-40AA-8965-61DB53B6E14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64762E8-A218-4F98-83A1-A6079FCBBAF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7780274-9E89-4831-87D1-1BFAEECA20B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4111592-7943-4AEC-B91A-91596F18478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8A794FF-A49C-4551-A4E5-526AA6DCC06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2A2C777-7245-4F0C-AF2D-FFAEBE0C241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CE99B59-3601-4B4B-AF51-B39AC2B42B8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汚水処理施設の統廃合（単独公共下水道を流域関連公共下水道に接続する。）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 xml:space="preserve"> </v>
          </cell>
        </row>
        <row r="262">
          <cell r="Y262" t="str">
            <v>●</v>
          </cell>
        </row>
        <row r="264">
          <cell r="Y264" t="str">
            <v>●</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cell r="E278">
            <v>5</v>
          </cell>
        </row>
        <row r="279">
          <cell r="E279">
            <v>3</v>
          </cell>
        </row>
        <row r="280">
          <cell r="E280">
            <v>31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窓口業務、検針調定業務、収納業務、還付業務、滞納整理業務、電算処理業務（料金システムを含む）、メーター交換業務、その他付帯業務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20の法適簡易水道事業を廃止し、上水道事業に統合（認可）した。
今後は施設の統廃合により維持管理すべき施設数を削減し、維持管理の効率化を図る。</v>
          </cell>
        </row>
        <row r="65">
          <cell r="G65" t="str">
            <v>●</v>
          </cell>
          <cell r="S65" t="str">
            <v>平成</v>
          </cell>
          <cell r="V65">
            <v>29</v>
          </cell>
        </row>
        <row r="66">
          <cell r="G66" t="str">
            <v xml:space="preserve"> </v>
          </cell>
          <cell r="V66">
            <v>4</v>
          </cell>
        </row>
        <row r="67">
          <cell r="V67">
            <v>1</v>
          </cell>
        </row>
        <row r="71">
          <cell r="O71" t="str">
            <v xml:space="preserve"> </v>
          </cell>
          <cell r="AG71" t="str">
            <v>●</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観光施設事業</v>
          </cell>
          <cell r="W17" t="str">
            <v>休養宿泊</v>
          </cell>
          <cell r="BD17" t="str">
            <v>●</v>
          </cell>
        </row>
        <row r="19">
          <cell r="F19" t="str">
            <v>ー</v>
          </cell>
        </row>
        <row r="43">
          <cell r="R43" t="str">
            <v xml:space="preserve"> </v>
          </cell>
          <cell r="X43" t="str">
            <v xml:space="preserve"> </v>
          </cell>
          <cell r="AA43" t="str">
            <v xml:space="preserve"> </v>
          </cell>
          <cell r="AD43" t="str">
            <v xml:space="preserve"> </v>
          </cell>
        </row>
        <row r="44">
          <cell r="R44" t="str">
            <v>●</v>
          </cell>
          <cell r="X44" t="str">
            <v xml:space="preserve"> </v>
          </cell>
          <cell r="AA44" t="str">
            <v xml:space="preserve"> </v>
          </cell>
          <cell r="AD44" t="str">
            <v>●</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40">
          <cell r="B140" t="str">
            <v>平成29年度に市営温泉6施設の譲渡について公募形式で譲渡先を募り、平成30年度に6施設のうち3施設を民間企業に譲渡。</v>
          </cell>
        </row>
        <row r="146">
          <cell r="B146" t="str">
            <v>しかしながら、平成30年度に以前三セクが運営していた温泉施設を民間企業に譲渡した３施設が、令和２年度以降に全て市へ返還され、現在の市営温泉施設３施設とあわせた６施設を、コロナ禍と人口減少社会において民間譲渡できるかが課題。</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病院事業管理者が公営企業としての経営責任の明確化を図り、行政から基本的に独立した企画感覚による経営を行っている。現在移行の考えはないが、あくまでも経営企業として健全な病院経営のために最善を尽くし、今後は2025年を見据えて経営形態の見直しの是非について検討するものとする。
　また、現時点で機能の定量的な基準がないため医療機関の自主的な判断に委ねられることから、人口構造及び疾病構造が変化していく中、体制を整えて行く必要がある。当面（計画期間中）は、現状を維持し、他の医療圏との関係性を保ちながら、将来の医療需要に見極めた対応をしていきます。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 xml:space="preserve">市内他水源から離れている地域の給水について水源を維持していくことが困難になってきており、その課題に対処するため他自治体（他県）から県境を越えて受水し、当該地区に給水することを検討している。この場合に、既存の取水、導水設備の更新費用が不要となり安定的な給水に資することが可能となる。              </v>
          </cell>
        </row>
        <row r="295">
          <cell r="B295" t="str">
            <v>他自治体との交渉、財源（交付金）活用の是非について協議中。</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窓口業務、開閉栓業務、検針調定業務、収納業務、還付業務、滞納整理業務、給水停止業務、電算処理業務（料金システムを含む）、メーター交換業務、その他付帯業務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下水道事業</v>
          </cell>
          <cell r="W17" t="str">
            <v>小規模集合排水施設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窓口業務、検針調定業務、収納業務、還付業務、滞納整理業務、電算処理業務（料金システムを含む）、メーター交換業務、その他付帯業務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窓口業務、調定業務、収納業務、還付業務、滞納整理業務、電算処理業務（料金システムを含む）、その他付帯業務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汚水処理施設の統廃合（農業集落排水の3処理区を一つに統合する。）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v>
          </cell>
        </row>
        <row r="273">
          <cell r="Y273" t="str">
            <v xml:space="preserve"> </v>
          </cell>
        </row>
        <row r="274">
          <cell r="Y274" t="str">
            <v xml:space="preserve"> </v>
          </cell>
        </row>
        <row r="275">
          <cell r="Y275" t="str">
            <v xml:space="preserve"> </v>
          </cell>
        </row>
        <row r="278">
          <cell r="B278" t="str">
            <v>令和</v>
          </cell>
          <cell r="E278">
            <v>5</v>
          </cell>
        </row>
        <row r="279">
          <cell r="E279">
            <v>3</v>
          </cell>
        </row>
        <row r="280">
          <cell r="E280">
            <v>31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窓口業務、検針調定業務、収納業務、還付業務、滞納整理業務、電算処理業務（料金システムを含む）、メーター交換業務、その他付帯業務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下水道事業</v>
          </cell>
          <cell r="W17" t="str">
            <v>林業集落排水施設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上下水道料金等関連業務について、事業提案型プロポーザル方式により委託者を選定し、委託契約を締結した。（期間５年）</v>
          </cell>
        </row>
        <row r="362">
          <cell r="B362" t="str">
            <v>窓口業務、検針調定業務、収納業務、還付業務、滞納整理業務、電算処理業務（料金システムを含む）、メーター交換業務、その他付帯業務　</v>
          </cell>
        </row>
        <row r="368">
          <cell r="B368" t="str">
            <v>平成</v>
          </cell>
          <cell r="E368">
            <v>22</v>
          </cell>
        </row>
        <row r="369">
          <cell r="E369">
            <v>11</v>
          </cell>
        </row>
        <row r="370">
          <cell r="E370">
            <v>30</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介護サービス事業</v>
          </cell>
          <cell r="W17" t="str">
            <v>介護老人保健施設</v>
          </cell>
          <cell r="BD17" t="str">
            <v>●</v>
          </cell>
        </row>
        <row r="19">
          <cell r="F19" t="str">
            <v>市営介護サービス事業特別会計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xml:space="preserve">現行の経営体制・手法で、健全な事業運営ができている。ただし、民間事業の経営手法やコスト比較など調査・研究を行い、事務及び事業の効率化と簡素化に努めながら事業を実施する。
また、指定管理制度の導入や施設及び事業の譲渡、一部業務の民間委託も検討していく。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介護サービス事業</v>
          </cell>
          <cell r="W17" t="str">
            <v>指定介護老人福祉施設</v>
          </cell>
          <cell r="BD17" t="str">
            <v>●</v>
          </cell>
        </row>
        <row r="19">
          <cell r="F19" t="str">
            <v>市営介護サービス事業特別会計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市直営施設としての役割、運営にあたり、民間事業所では受け入れ困難なケース、及び多様化する住民のニーズに対応し、今後も迅速かつ公平なサービスの提供を継続する必要がある。そのために、業務の効率化や簡素化を進めた事業展開を行って行く。介護職の人員不足により、抜本的な改革の方向性については、近い将来に指定管理制度の導入や一部業務の民間委託も視野に検討していく予定。</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介護サービス事業</v>
          </cell>
          <cell r="W17" t="str">
            <v>老人デイサービスセンター</v>
          </cell>
          <cell r="BD17" t="str">
            <v>●</v>
          </cell>
        </row>
        <row r="19">
          <cell r="F19" t="str">
            <v>市営介護サービス事業特別会計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現行の経営体制・手法で、健全な事業運営が実施できている為である。
ただし、民間事業の経営手法やコスト比較など調査・研究を行い、事務及び事業の効率化と簡素に努めながら事業を実施する。また、指定管理制度の導入や施設及び事業の譲渡、一部業務の民間委託も検討していく。</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横手市</v>
          </cell>
        </row>
        <row r="17">
          <cell r="F17" t="str">
            <v>介護サービス事業</v>
          </cell>
          <cell r="W17" t="str">
            <v>老人短期入所施設</v>
          </cell>
          <cell r="BD17" t="str">
            <v>●</v>
          </cell>
        </row>
        <row r="19">
          <cell r="F19" t="str">
            <v>市営介護サービス事業特別会計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市直営施設としての役割、運営にあたり、民間事業所では受け入れ困難なケース、及び多様化する住民のニーズに対応し、今後も迅速かつ公平なサービスの提供を継続する必要がある。そのために、業務の効率化や簡素化を進めた事業展開を行って行く。介護職の人員不足により、抜本的な改革の方向性については、近い将来に指定管理制度の導入や一部業務の民間委託も視野に検討していく予定。</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ADA19-5C23-422D-953F-013F73DF5989}">
  <sheetPr>
    <pageSetUpPr fitToPage="1"/>
  </sheetPr>
  <dimension ref="A1:CN315"/>
  <sheetViews>
    <sheetView showZeros="0" tabSelected="1" view="pageBreakPreview" zoomScale="60" zoomScaleNormal="55" workbookViewId="0">
      <selection activeCell="A98" sqref="A98:XFD101"/>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IF(COUNTIF([13]回答表!K15,"*")&gt;0,[13]回答表!K15,"")</f>
        <v>横手市</v>
      </c>
      <c r="D11" s="299"/>
      <c r="E11" s="299"/>
      <c r="F11" s="299"/>
      <c r="G11" s="299"/>
      <c r="H11" s="299"/>
      <c r="I11" s="299"/>
      <c r="J11" s="299"/>
      <c r="K11" s="299"/>
      <c r="L11" s="299"/>
      <c r="M11" s="299"/>
      <c r="N11" s="299"/>
      <c r="O11" s="299"/>
      <c r="P11" s="299"/>
      <c r="Q11" s="299"/>
      <c r="R11" s="299"/>
      <c r="S11" s="299"/>
      <c r="T11" s="299"/>
      <c r="U11" s="306" t="str">
        <f>IF(COUNTIF([13]回答表!F17,"*")&gt;0,[13]回答表!F17,"")</f>
        <v>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IF(COUNTIF([13]回答表!W17,"*")&gt;0,[13]回答表!W17,"")</f>
        <v>―</v>
      </c>
      <c r="AP11" s="301"/>
      <c r="AQ11" s="301"/>
      <c r="AR11" s="301"/>
      <c r="AS11" s="301"/>
      <c r="AT11" s="301"/>
      <c r="AU11" s="301"/>
      <c r="AV11" s="301"/>
      <c r="AW11" s="301"/>
      <c r="AX11" s="301"/>
      <c r="AY11" s="301"/>
      <c r="AZ11" s="301"/>
      <c r="BA11" s="301"/>
      <c r="BB11" s="301"/>
      <c r="BC11" s="301"/>
      <c r="BD11" s="301"/>
      <c r="BE11" s="301"/>
      <c r="BF11" s="302"/>
      <c r="BG11" s="305" t="str">
        <f>IF(COUNTIF([13]回答表!F19,"*")&gt;0,[13]回答表!F19,"")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IF([13]回答表!R43="●","●","")</f>
        <v/>
      </c>
      <c r="E24" s="123"/>
      <c r="F24" s="123"/>
      <c r="G24" s="123"/>
      <c r="H24" s="123"/>
      <c r="I24" s="123"/>
      <c r="J24" s="124"/>
      <c r="K24" s="122" t="str">
        <f>IF([13]回答表!R44="●","●","")</f>
        <v/>
      </c>
      <c r="L24" s="123"/>
      <c r="M24" s="123"/>
      <c r="N24" s="123"/>
      <c r="O24" s="123"/>
      <c r="P24" s="123"/>
      <c r="Q24" s="124"/>
      <c r="R24" s="122" t="str">
        <f>IF([13]回答表!R45="●","●","")</f>
        <v>●</v>
      </c>
      <c r="S24" s="123"/>
      <c r="T24" s="123"/>
      <c r="U24" s="123"/>
      <c r="V24" s="123"/>
      <c r="W24" s="123"/>
      <c r="X24" s="124"/>
      <c r="Y24" s="122" t="str">
        <f>IF([13]回答表!R46="●","●","")</f>
        <v/>
      </c>
      <c r="Z24" s="123"/>
      <c r="AA24" s="123"/>
      <c r="AB24" s="123"/>
      <c r="AC24" s="123"/>
      <c r="AD24" s="123"/>
      <c r="AE24" s="124"/>
      <c r="AF24" s="122" t="str">
        <f>IF([13]回答表!R47="●","●","")</f>
        <v>●</v>
      </c>
      <c r="AG24" s="123"/>
      <c r="AH24" s="123"/>
      <c r="AI24" s="123"/>
      <c r="AJ24" s="123"/>
      <c r="AK24" s="123"/>
      <c r="AL24" s="124"/>
      <c r="AM24" s="122" t="str">
        <f>IF([13]回答表!R48="●","●","")</f>
        <v/>
      </c>
      <c r="AN24" s="123"/>
      <c r="AO24" s="123"/>
      <c r="AP24" s="123"/>
      <c r="AQ24" s="123"/>
      <c r="AR24" s="123"/>
      <c r="AS24" s="124"/>
      <c r="AT24" s="122" t="str">
        <f>IF([13]回答表!R49="●","●","")</f>
        <v/>
      </c>
      <c r="AU24" s="123"/>
      <c r="AV24" s="123"/>
      <c r="AW24" s="123"/>
      <c r="AX24" s="123"/>
      <c r="AY24" s="123"/>
      <c r="AZ24" s="124"/>
      <c r="BA24" s="18"/>
      <c r="BB24" s="119" t="str">
        <f>IF([13]回答表!R50="●","●","")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IF([13]回答表!X43="●","●","")</f>
        <v/>
      </c>
      <c r="O36" s="99"/>
      <c r="P36" s="99"/>
      <c r="Q36" s="100"/>
      <c r="R36" s="38"/>
      <c r="S36" s="38"/>
      <c r="T36" s="38"/>
      <c r="U36" s="107" t="str">
        <f>IF([13]回答表!X43="●",[13]回答表!B59,IF([13]回答表!AA43="●",[13]回答表!B79,""))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IF([13]回答表!X43="●",[13]回答表!S65,IF([13]回答表!AA43="●",[13]回答表!S85,""))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IF([13]回答表!X43="●",[13]回答表!G65,IF([13]回答表!AA43="●",[13]回答表!G85,""))</f>
        <v/>
      </c>
      <c r="AN38" s="120"/>
      <c r="AO38" s="120"/>
      <c r="AP38" s="120"/>
      <c r="AQ38" s="120"/>
      <c r="AR38" s="120"/>
      <c r="AS38" s="120"/>
      <c r="AT38" s="121"/>
      <c r="AU38" s="119" t="str">
        <f>IF([13]回答表!X43="●",[13]回答表!G66,IF([13]回答表!AA43="●",[13]回答表!G86,""))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IF([13]回答表!X43="●",[13]回答表!V65,IF([13]回答表!AA43="●",[13]回答表!V85,""))</f>
        <v/>
      </c>
      <c r="BG39" s="249"/>
      <c r="BH39" s="249"/>
      <c r="BI39" s="250"/>
      <c r="BJ39" s="83" t="str">
        <f>IF([13]回答表!X43="●",[13]回答表!V66,IF([13]回答表!AA43="●",[13]回答表!V86,""))</f>
        <v/>
      </c>
      <c r="BK39" s="249"/>
      <c r="BL39" s="249"/>
      <c r="BM39" s="250"/>
      <c r="BN39" s="83" t="str">
        <f>IF([13]回答表!X43="●",[13]回答表!V67,IF([13]回答表!AA43="●",[13]回答表!V87,""))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IF([13]回答表!X43="●",[13]回答表!O71,IF([13]回答表!AA43="●",[13]回答表!O91,""))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IF([13]回答表!X43="●",[13]回答表!O72,IF([13]回答表!AA43="●",[13]回答表!O92,""))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IF([13]回答表!X43="●",[13]回答表!O73,IF([13]回答表!AA43="●",[13]回答表!O93,""))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IF([13]回答表!X43="●",[13]回答表!O74,IF([13]回答表!AA43="●",[13]回答表!O94,""))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IF([13]回答表!X43="●",[13]回答表!AG71,IF([13]回答表!AA43="●",[13]回答表!AG91,""))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IF([13]回答表!X43="●",[13]回答表!AG72,IF([13]回答表!AA43="●",[13]回答表!AG92,""))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IF([13]回答表!AD43="●","●","")</f>
        <v/>
      </c>
      <c r="O51" s="99"/>
      <c r="P51" s="99"/>
      <c r="Q51" s="100"/>
      <c r="R51" s="38"/>
      <c r="S51" s="38"/>
      <c r="T51" s="38"/>
      <c r="U51" s="107" t="str">
        <f>IF([13]回答表!AD43="●",[13]回答表!B99,"")</f>
        <v/>
      </c>
      <c r="V51" s="108"/>
      <c r="W51" s="108"/>
      <c r="X51" s="108"/>
      <c r="Y51" s="108"/>
      <c r="Z51" s="108"/>
      <c r="AA51" s="108"/>
      <c r="AB51" s="108"/>
      <c r="AC51" s="108"/>
      <c r="AD51" s="108"/>
      <c r="AE51" s="108"/>
      <c r="AF51" s="108"/>
      <c r="AG51" s="108"/>
      <c r="AH51" s="108"/>
      <c r="AI51" s="108"/>
      <c r="AJ51" s="109"/>
      <c r="AK51" s="55"/>
      <c r="AL51" s="55"/>
      <c r="AM51" s="107" t="str">
        <f>IF([13]回答表!AD43="●",[13]回答表!B104,"")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IF([13]回答表!X44="●","●","")</f>
        <v/>
      </c>
      <c r="O62" s="99"/>
      <c r="P62" s="99"/>
      <c r="Q62" s="100"/>
      <c r="R62" s="38"/>
      <c r="S62" s="38"/>
      <c r="T62" s="38"/>
      <c r="U62" s="107" t="str">
        <f>IF([13]回答表!X44="●",[13]回答表!B115,IF([13]回答表!AA44="●",[13]回答表!B127,""))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IF([13]回答表!X44="●",[13]回答表!S121,IF([13]回答表!AA44="●",[13]回答表!S133,""))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IF([13]回答表!X44="●",[13]回答表!J121,IF([13]回答表!AA44="●",[13]回答表!J133,""))</f>
        <v/>
      </c>
      <c r="AN65" s="120"/>
      <c r="AO65" s="120"/>
      <c r="AP65" s="120"/>
      <c r="AQ65" s="120"/>
      <c r="AR65" s="120"/>
      <c r="AS65" s="120"/>
      <c r="AT65" s="121"/>
      <c r="AU65" s="119" t="str">
        <f>IF([13]回答表!X44="●",[13]回答表!J122,IF([13]回答表!AA44="●",[13]回答表!J134,""))</f>
        <v/>
      </c>
      <c r="AV65" s="120"/>
      <c r="AW65" s="120"/>
      <c r="AX65" s="120"/>
      <c r="AY65" s="120"/>
      <c r="AZ65" s="120"/>
      <c r="BA65" s="120"/>
      <c r="BB65" s="121"/>
      <c r="BC65" s="39"/>
      <c r="BD65" s="34"/>
      <c r="BE65" s="34"/>
      <c r="BF65" s="83" t="str">
        <f>IF([13]回答表!X44="●",[13]回答表!V121,IF([13]回答表!AA44="●",[13]回答表!V133,""))</f>
        <v/>
      </c>
      <c r="BG65" s="84"/>
      <c r="BH65" s="84"/>
      <c r="BI65" s="84"/>
      <c r="BJ65" s="83" t="str">
        <f>IF([13]回答表!X44="●",[13]回答表!V122,IF([13]回答表!AA44="●",[13]回答表!V134,""))</f>
        <v/>
      </c>
      <c r="BK65" s="84"/>
      <c r="BL65" s="84"/>
      <c r="BM65" s="84"/>
      <c r="BN65" s="83" t="str">
        <f>IF([13]回答表!X44="●",[13]回答表!V123,IF([13]回答表!AA44="●",[13]回答表!V135,""))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IF([13]回答表!AD44="●","●","")</f>
        <v/>
      </c>
      <c r="O74" s="99"/>
      <c r="P74" s="99"/>
      <c r="Q74" s="100"/>
      <c r="R74" s="38"/>
      <c r="S74" s="38"/>
      <c r="T74" s="38"/>
      <c r="U74" s="107" t="str">
        <f>IF([13]回答表!AD44="●",[13]回答表!B140,"")</f>
        <v/>
      </c>
      <c r="V74" s="108"/>
      <c r="W74" s="108"/>
      <c r="X74" s="108"/>
      <c r="Y74" s="108"/>
      <c r="Z74" s="108"/>
      <c r="AA74" s="108"/>
      <c r="AB74" s="108"/>
      <c r="AC74" s="108"/>
      <c r="AD74" s="108"/>
      <c r="AE74" s="108"/>
      <c r="AF74" s="108"/>
      <c r="AG74" s="108"/>
      <c r="AH74" s="108"/>
      <c r="AI74" s="108"/>
      <c r="AJ74" s="109"/>
      <c r="AK74" s="55"/>
      <c r="AL74" s="55"/>
      <c r="AM74" s="107" t="str">
        <f>IF([13]回答表!AD44="●",[13]回答表!B146,"")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IF([13]回答表!F17="水道事業",IF([13]回答表!X45="●","●",""),"")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IF([13]回答表!F17="水道事業",IF([13]回答表!X45="●",[13]回答表!B158,IF([13]回答表!AA45="●",[13]回答表!B223,"")),"")</f>
        <v/>
      </c>
      <c r="AN86" s="212"/>
      <c r="AO86" s="212"/>
      <c r="AP86" s="212"/>
      <c r="AQ86" s="212"/>
      <c r="AR86" s="212"/>
      <c r="AS86" s="212"/>
      <c r="AT86" s="212"/>
      <c r="AU86" s="212"/>
      <c r="AV86" s="212"/>
      <c r="AW86" s="212"/>
      <c r="AX86" s="212"/>
      <c r="AY86" s="212"/>
      <c r="AZ86" s="212"/>
      <c r="BA86" s="212"/>
      <c r="BB86" s="212"/>
      <c r="BC86" s="213"/>
      <c r="BD86" s="34"/>
      <c r="BE86" s="34"/>
      <c r="BF86" s="116" t="str">
        <f>IF([13]回答表!F17="水道事業",IF([13]回答表!X45="●",[13]回答表!B212,IF([13]回答表!AA45="●",[13]回答表!B278,"")),"")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IF([13]回答表!F17="水道事業",IF([13]回答表!X45="●",[13]回答表!J166,IF([13]回答表!AA45="●",[13]回答表!J231,"")),"")</f>
        <v/>
      </c>
      <c r="V88" s="120"/>
      <c r="W88" s="120"/>
      <c r="X88" s="120"/>
      <c r="Y88" s="120"/>
      <c r="Z88" s="120"/>
      <c r="AA88" s="120"/>
      <c r="AB88" s="121"/>
      <c r="AC88" s="119" t="str">
        <f>IF([13]回答表!F17="水道事業",IF([13]回答表!X45="●",[13]回答表!J173,IF([13]回答表!AA45="●",[13]回答表!J238,"")),"")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IF([13]回答表!F17="水道事業",IF([13]回答表!X45="●",[13]回答表!E212,IF([13]回答表!AA45="●",[13]回答表!E278,"")),"")</f>
        <v/>
      </c>
      <c r="BG89" s="84"/>
      <c r="BH89" s="84"/>
      <c r="BI89" s="84"/>
      <c r="BJ89" s="83" t="str">
        <f>IF([13]回答表!F17="水道事業",IF([13]回答表!X45="●",[13]回答表!E213,IF([13]回答表!AA45="●",[13]回答表!E279,"")),"")</f>
        <v/>
      </c>
      <c r="BK89" s="84"/>
      <c r="BL89" s="84"/>
      <c r="BM89" s="84"/>
      <c r="BN89" s="83" t="str">
        <f>IF([13]回答表!F17="水道事業",IF([13]回答表!X45="●",[13]回答表!E214,IF([13]回答表!AA45="●",[13]回答表!E280,"")),"")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IF([13]回答表!F17="水道事業",IF([13]回答表!AA45="●","●",""),"")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IF([13]回答表!F17="水道事業",IF([13]回答表!X45="●",[13]回答表!J176,IF([13]回答表!AA45="●",[13]回答表!J241,"")),"")</f>
        <v/>
      </c>
      <c r="V93" s="120"/>
      <c r="W93" s="120"/>
      <c r="X93" s="120"/>
      <c r="Y93" s="120"/>
      <c r="Z93" s="120"/>
      <c r="AA93" s="120"/>
      <c r="AB93" s="121"/>
      <c r="AC93" s="119" t="str">
        <f>IF([13]回答表!F17="水道事業",IF([13]回答表!X45="●",[13]回答表!J180,IF([13]回答表!AA45="●",[13]回答表!J245,"")),"")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69.75" customHeight="1" x14ac:dyDescent="0.4">
      <c r="C98" s="32"/>
      <c r="D98" s="190" t="s">
        <v>33</v>
      </c>
      <c r="E98" s="190"/>
      <c r="F98" s="190"/>
      <c r="G98" s="190"/>
      <c r="H98" s="190"/>
      <c r="I98" s="190"/>
      <c r="J98" s="190"/>
      <c r="K98" s="190"/>
      <c r="L98" s="190"/>
      <c r="M98" s="191"/>
      <c r="N98" s="98" t="str">
        <f>IF([13]回答表!F17="水道事業",IF([13]回答表!AD45="○","○",""),"")</f>
        <v/>
      </c>
      <c r="O98" s="99"/>
      <c r="P98" s="99"/>
      <c r="Q98" s="100"/>
      <c r="R98" s="38"/>
      <c r="S98" s="38"/>
      <c r="T98" s="38"/>
      <c r="U98" s="107" t="str">
        <f>IF([13]回答表!F17="水道事業",IF([13]回答表!AD45="●",[13]回答表!B289,""),"")</f>
        <v xml:space="preserve">市内他水源から離れている地域の給水について水源を維持していくことが困難になってきており、その課題に対処するため他自治体（他県）から県境を越えて受水し、当該地区に給水することを検討している。この場合に、既存の取水、導水設備の更新費用が不要となり安定的な給水に資することが可能となる。              </v>
      </c>
      <c r="V98" s="108"/>
      <c r="W98" s="108"/>
      <c r="X98" s="108"/>
      <c r="Y98" s="108"/>
      <c r="Z98" s="108"/>
      <c r="AA98" s="108"/>
      <c r="AB98" s="108"/>
      <c r="AC98" s="108"/>
      <c r="AD98" s="108"/>
      <c r="AE98" s="108"/>
      <c r="AF98" s="108"/>
      <c r="AG98" s="108"/>
      <c r="AH98" s="108"/>
      <c r="AI98" s="108"/>
      <c r="AJ98" s="109"/>
      <c r="AK98" s="55"/>
      <c r="AL98" s="55"/>
      <c r="AM98" s="107" t="str">
        <f>IF([13]回答表!F17="水道事業",IF([13]回答表!AD45="●",[13]回答表!B295,""),"")</f>
        <v>他自治体との交渉、財源（交付金）活用の是非について協議中。</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69.75"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69.75"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69.75"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IF([13]回答表!F17="簡易水道事業",IF([13]回答表!X45="●",[13]回答表!B158,IF([13]回答表!AA45="●",[13]回答表!B223,"")),"")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IF([13]回答表!F17="簡易水道事業",IF([13]回答表!X45="●",[13]回答表!B212,IF([13]回答表!AA45="●",[13]回答表!B278,"")),"")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IF([13]回答表!F17="簡易水道事業",IF([13]回答表!X45="●","●",""),"")</f>
        <v/>
      </c>
      <c r="O112" s="99"/>
      <c r="P112" s="99"/>
      <c r="Q112" s="100"/>
      <c r="R112" s="38"/>
      <c r="S112" s="38"/>
      <c r="T112" s="38"/>
      <c r="U112" s="119" t="str">
        <f>IF([13]回答表!F17="簡易水道事業",IF([13]回答表!X45="●",[13]回答表!Y185,IF([13]回答表!AA45="●",[13]回答表!Y251,"")),"")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IF([13]回答表!F17="簡易水道事業",IF([13]回答表!X45="●",[13]回答表!E212,IF([13]回答表!AA45="●",[13]回答表!E278,"")),"")</f>
        <v/>
      </c>
      <c r="BG113" s="84"/>
      <c r="BH113" s="84"/>
      <c r="BI113" s="84"/>
      <c r="BJ113" s="83" t="str">
        <f>IF([13]回答表!F17="簡易水道事業",IF([13]回答表!X45="●",[13]回答表!E213,IF([13]回答表!AA45="●",[13]回答表!E279,"")),"")</f>
        <v/>
      </c>
      <c r="BK113" s="84"/>
      <c r="BL113" s="84"/>
      <c r="BM113" s="84"/>
      <c r="BN113" s="83" t="str">
        <f>IF([13]回答表!F17="簡易水道事業",IF([13]回答表!X45="●",[13]回答表!E214,IF([13]回答表!AA45="●",[13]回答表!E280,"")),"")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IF([13]回答表!F17="簡易水道事業",IF([13]回答表!X45="●",[13]回答表!Y186,IF([13]回答表!AA45="●",[13]回答表!Y252,"")),"")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IF([13]回答表!F17="簡易水道事業",IF([13]回答表!AA45="●","●",""),"")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IF([13]回答表!F17="簡易水道事業",IF([13]回答表!X45="●",[13]回答表!Y187,IF([13]回答表!AA45="●",[13]回答表!Y253,"")),"")</f>
        <v/>
      </c>
      <c r="V122" s="120"/>
      <c r="W122" s="120"/>
      <c r="X122" s="120"/>
      <c r="Y122" s="120"/>
      <c r="Z122" s="120"/>
      <c r="AA122" s="120"/>
      <c r="AB122" s="120"/>
      <c r="AC122" s="120"/>
      <c r="AD122" s="120"/>
      <c r="AE122" s="120"/>
      <c r="AF122" s="120"/>
      <c r="AG122" s="120"/>
      <c r="AH122" s="120"/>
      <c r="AI122" s="120"/>
      <c r="AJ122" s="121"/>
      <c r="AK122" s="18"/>
      <c r="AL122" s="18"/>
      <c r="AM122" s="228" t="str">
        <f>IF([13]回答表!F17="簡易水道事業",IF([13]回答表!X45="●",[13]回答表!Y189,IF([13]回答表!AA45="●",[13]回答表!Y255,"")),"")</f>
        <v/>
      </c>
      <c r="AN122" s="228"/>
      <c r="AO122" s="228"/>
      <c r="AP122" s="228"/>
      <c r="AQ122" s="228"/>
      <c r="AR122" s="228"/>
      <c r="AS122" s="228" t="str">
        <f>IF([13]回答表!F17="簡易水道事業",IF([13]回答表!X45="●",[13]回答表!Y190,IF([13]回答表!AA45="●",[13]回答表!Y256,"")),"")</f>
        <v/>
      </c>
      <c r="AT122" s="228"/>
      <c r="AU122" s="228"/>
      <c r="AV122" s="228"/>
      <c r="AW122" s="228"/>
      <c r="AX122" s="228"/>
      <c r="AY122" s="228" t="str">
        <f>IF([13]回答表!F17="簡易水道事業",IF([13]回答表!X45="●",[13]回答表!Y191,IF([13]回答表!AA45="●",[13]回答表!Y257,"")),"")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IF([13]回答表!F17="簡易水道事業",IF([13]回答表!AD45="●","●",""),"")</f>
        <v/>
      </c>
      <c r="O127" s="99"/>
      <c r="P127" s="99"/>
      <c r="Q127" s="100"/>
      <c r="R127" s="38"/>
      <c r="S127" s="38"/>
      <c r="T127" s="38"/>
      <c r="U127" s="107" t="str">
        <f>IF([13]回答表!F17="簡易水道事業",IF([13]回答表!AD45="●",[13]回答表!B289,""),"")</f>
        <v/>
      </c>
      <c r="V127" s="108"/>
      <c r="W127" s="108"/>
      <c r="X127" s="108"/>
      <c r="Y127" s="108"/>
      <c r="Z127" s="108"/>
      <c r="AA127" s="108"/>
      <c r="AB127" s="108"/>
      <c r="AC127" s="108"/>
      <c r="AD127" s="108"/>
      <c r="AE127" s="108"/>
      <c r="AF127" s="108"/>
      <c r="AG127" s="108"/>
      <c r="AH127" s="108"/>
      <c r="AI127" s="108"/>
      <c r="AJ127" s="109"/>
      <c r="AK127" s="55"/>
      <c r="AL127" s="55"/>
      <c r="AM127" s="107" t="str">
        <f>IF([13]回答表!F17="簡易水道事業",IF([13]回答表!AD45="●",[13]回答表!B295,""),"")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IF([13]回答表!F17="下水道事業",IF([13]回答表!X45="●","●",""),"")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IF([13]回答表!F17="下水道事業",IF([13]回答表!X45="●",[13]回答表!B158,IF([13]回答表!AA45="●",[13]回答表!B223,"")),"")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IF([13]回答表!F17="下水道事業",IF([13]回答表!X45="●",[13]回答表!B212,IF([13]回答表!AA45="●",[13]回答表!B278,"")),"")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IF([13]回答表!F17="下水道事業",IF([13]回答表!X45="●",[13]回答表!Y193,IF([13]回答表!AA45="●",[13]回答表!Y259,"")),"")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IF([13]回答表!F17="下水道事業",IF([13]回答表!X45="●",[13]回答表!E212,IF([13]回答表!AA45="●",[13]回答表!E278,"")),"")</f>
        <v/>
      </c>
      <c r="BG142" s="84"/>
      <c r="BH142" s="84"/>
      <c r="BI142" s="84"/>
      <c r="BJ142" s="83" t="str">
        <f>IF([13]回答表!F17="下水道事業",IF([13]回答表!X45="●",[13]回答表!E213,IF([13]回答表!AA45="●",[13]回答表!E279,"")),"")</f>
        <v/>
      </c>
      <c r="BK142" s="84"/>
      <c r="BL142" s="84"/>
      <c r="BM142" s="84"/>
      <c r="BN142" s="83" t="str">
        <f>IF([13]回答表!F17="下水道事業",IF([13]回答表!X45="●",[13]回答表!E214,IF([13]回答表!AA45="●",[13]回答表!E280,"")),"")</f>
        <v/>
      </c>
      <c r="BO142" s="84"/>
      <c r="BP142" s="84"/>
      <c r="BQ142" s="87"/>
      <c r="BR142" s="37"/>
      <c r="BX142" s="211" t="str">
        <f>IF([13]回答表!AQ20="下水道事業",IF([13]回答表!BI48="○",[13]回答表!AM161,IF([13]回答表!BL48="○",[13]回答表!AM226,"")),"")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IF([13]回答表!F17="下水道事業",IF([13]回答表!X45="●",[13]回答表!Y195,IF([13]回答表!AA45="●",[13]回答表!Y261,"")),"")</f>
        <v/>
      </c>
      <c r="V147" s="120"/>
      <c r="W147" s="120"/>
      <c r="X147" s="120"/>
      <c r="Y147" s="120"/>
      <c r="Z147" s="120"/>
      <c r="AA147" s="120"/>
      <c r="AB147" s="121"/>
      <c r="AC147" s="119" t="str">
        <f>IF([13]回答表!F17="下水道事業",IF([13]回答表!X45="●",[13]回答表!Y196,IF([13]回答表!AA45="●",[13]回答表!Y262,"")),"")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IF([13]回答表!F17="下水道事業",IF([13]回答表!X45="●",[13]回答表!Y198,IF([13]回答表!AA45="●",[13]回答表!Y264,"")),"")</f>
        <v/>
      </c>
      <c r="V153" s="120"/>
      <c r="W153" s="120"/>
      <c r="X153" s="120"/>
      <c r="Y153" s="120"/>
      <c r="Z153" s="120"/>
      <c r="AA153" s="120"/>
      <c r="AB153" s="121"/>
      <c r="AC153" s="119" t="str">
        <f>IF([13]回答表!F17="下水道事業",IF([13]回答表!X45="●",[13]回答表!Y199,IF([13]回答表!AA45="●",[13]回答表!Y265,"")),"")</f>
        <v/>
      </c>
      <c r="AD153" s="120"/>
      <c r="AE153" s="120"/>
      <c r="AF153" s="120"/>
      <c r="AG153" s="120"/>
      <c r="AH153" s="120"/>
      <c r="AI153" s="120"/>
      <c r="AJ153" s="121"/>
      <c r="AK153" s="119" t="str">
        <f>IF([13]回答表!F17="下水道事業",IF([13]回答表!X45="●",[13]回答表!Y200,IF([13]回答表!AA45="●",[13]回答表!Y266,"")),"")</f>
        <v/>
      </c>
      <c r="AL153" s="120"/>
      <c r="AM153" s="120"/>
      <c r="AN153" s="120"/>
      <c r="AO153" s="120"/>
      <c r="AP153" s="120"/>
      <c r="AQ153" s="120"/>
      <c r="AR153" s="121"/>
      <c r="AS153" s="119" t="str">
        <f>IF([13]回答表!F17="下水道事業",IF([13]回答表!X45="●",[13]回答表!Y201,IF([13]回答表!AA45="●",[13]回答表!Y267,"")),"")</f>
        <v/>
      </c>
      <c r="AT153" s="120"/>
      <c r="AU153" s="120"/>
      <c r="AV153" s="120"/>
      <c r="AW153" s="120"/>
      <c r="AX153" s="120"/>
      <c r="AY153" s="120"/>
      <c r="AZ153" s="121"/>
      <c r="BA153" s="119" t="str">
        <f>IF([13]回答表!F17="下水道事業",IF([13]回答表!X45="●",[13]回答表!Y202,IF([13]回答表!AA45="●",[13]回答表!Y268,"")),"")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IF([13]回答表!F17="下水道事業",IF([13]回答表!AA45="●","●",""),"")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IF([13]回答表!F17="下水道事業",IF([13]回答表!X45="●",[13]回答表!Y207,IF([13]回答表!AA45="●",[13]回答表!Y273,"")),"")</f>
        <v/>
      </c>
      <c r="V159" s="120"/>
      <c r="W159" s="120"/>
      <c r="X159" s="120"/>
      <c r="Y159" s="120"/>
      <c r="Z159" s="120"/>
      <c r="AA159" s="120"/>
      <c r="AB159" s="121"/>
      <c r="AC159" s="119" t="str">
        <f>IF([13]回答表!F17="下水道事業",IF([13]回答表!X45="●",[13]回答表!Y208,IF([13]回答表!AA45="●",[13]回答表!Y274,"")),"")</f>
        <v/>
      </c>
      <c r="AD159" s="120"/>
      <c r="AE159" s="120"/>
      <c r="AF159" s="120"/>
      <c r="AG159" s="120"/>
      <c r="AH159" s="120"/>
      <c r="AI159" s="120"/>
      <c r="AJ159" s="121"/>
      <c r="AK159" s="119" t="str">
        <f>IF([13]回答表!F17="下水道事業",IF([13]回答表!X45="●",[13]回答表!Y209,IF([13]回答表!AA45="●",[13]回答表!Y275,"")),"")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IF([13]回答表!F17="下水道事業",IF([13]回答表!AD45="●","●",""),"")</f>
        <v/>
      </c>
      <c r="O164" s="99"/>
      <c r="P164" s="99"/>
      <c r="Q164" s="100"/>
      <c r="R164" s="38"/>
      <c r="S164" s="38"/>
      <c r="T164" s="38"/>
      <c r="U164" s="107" t="str">
        <f>IF([13]回答表!F17="下水道事業",IF([13]回答表!AD45="●",[13]回答表!B289,""),"")</f>
        <v/>
      </c>
      <c r="V164" s="108"/>
      <c r="W164" s="108"/>
      <c r="X164" s="108"/>
      <c r="Y164" s="108"/>
      <c r="Z164" s="108"/>
      <c r="AA164" s="108"/>
      <c r="AB164" s="108"/>
      <c r="AC164" s="108"/>
      <c r="AD164" s="108"/>
      <c r="AE164" s="108"/>
      <c r="AF164" s="108"/>
      <c r="AG164" s="108"/>
      <c r="AH164" s="108"/>
      <c r="AI164" s="108"/>
      <c r="AJ164" s="109"/>
      <c r="AK164" s="55"/>
      <c r="AL164" s="55"/>
      <c r="AM164" s="107" t="str">
        <f>IF([13]回答表!F17="下水道事業",IF([13]回答表!AD45="●",[13]回答表!B295,""),"")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IF([13]回答表!BD17="●",IF([13]回答表!X45="●","●",""),"")</f>
        <v/>
      </c>
      <c r="O176" s="99"/>
      <c r="P176" s="99"/>
      <c r="Q176" s="100"/>
      <c r="R176" s="38"/>
      <c r="S176" s="38"/>
      <c r="T176" s="38"/>
      <c r="U176" s="107" t="str">
        <f>IF([13]回答表!BD17="●",IF([13]回答表!X45="●",[13]回答表!B158,IF([13]回答表!AA45="●",[13]回答表!B223,"")),"")</f>
        <v/>
      </c>
      <c r="V176" s="108"/>
      <c r="W176" s="108"/>
      <c r="X176" s="108"/>
      <c r="Y176" s="108"/>
      <c r="Z176" s="108"/>
      <c r="AA176" s="108"/>
      <c r="AB176" s="108"/>
      <c r="AC176" s="108"/>
      <c r="AD176" s="108"/>
      <c r="AE176" s="108"/>
      <c r="AF176" s="108"/>
      <c r="AG176" s="108"/>
      <c r="AH176" s="108"/>
      <c r="AI176" s="108"/>
      <c r="AJ176" s="109"/>
      <c r="AK176" s="49"/>
      <c r="AL176" s="49"/>
      <c r="AM176" s="116" t="str">
        <f>IF([13]回答表!BD17="●",IF([13]回答表!X45="●",[13]回答表!B212,IF([13]回答表!AA45="●",[13]回答表!B278,"")),"")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IF([13]回答表!BD17="●",IF([13]回答表!X45="●",[13]回答表!E212,IF([13]回答表!AA45="●",[13]回答表!E278,"")),"")</f>
        <v/>
      </c>
      <c r="AN179" s="84"/>
      <c r="AO179" s="84"/>
      <c r="AP179" s="84"/>
      <c r="AQ179" s="83" t="str">
        <f>IF([13]回答表!BD17="●",IF([13]回答表!X45="●",[13]回答表!E213,IF([13]回答表!AA45="●",[13]回答表!E279,"")),"")</f>
        <v/>
      </c>
      <c r="AR179" s="84"/>
      <c r="AS179" s="84"/>
      <c r="AT179" s="84"/>
      <c r="AU179" s="83" t="str">
        <f>IF([13]回答表!BD17="●",IF([13]回答表!X45="●",[13]回答表!E214,IF([13]回答表!AA45="●",[13]回答表!E280,"")),"")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IF([13]回答表!BD17="●",IF([13]回答表!AA45="●","●",""),"")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IF([13]回答表!BD17="●",IF([13]回答表!AD45="●","●",""),"")</f>
        <v/>
      </c>
      <c r="O188" s="99"/>
      <c r="P188" s="99"/>
      <c r="Q188" s="100"/>
      <c r="R188" s="38"/>
      <c r="S188" s="38"/>
      <c r="T188" s="38"/>
      <c r="U188" s="107" t="str">
        <f>IF([13]回答表!BD17="●",IF([13]回答表!AD45="●",[13]回答表!B289,""),"")</f>
        <v/>
      </c>
      <c r="V188" s="108"/>
      <c r="W188" s="108"/>
      <c r="X188" s="108"/>
      <c r="Y188" s="108"/>
      <c r="Z188" s="108"/>
      <c r="AA188" s="108"/>
      <c r="AB188" s="108"/>
      <c r="AC188" s="108"/>
      <c r="AD188" s="108"/>
      <c r="AE188" s="108"/>
      <c r="AF188" s="108"/>
      <c r="AG188" s="108"/>
      <c r="AH188" s="108"/>
      <c r="AI188" s="108"/>
      <c r="AJ188" s="109"/>
      <c r="AK188" s="55"/>
      <c r="AL188" s="55"/>
      <c r="AM188" s="107" t="str">
        <f>IF([13]回答表!BD17="●",IF([13]回答表!AD45="●",[13]回答表!B295,""),"")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IF([13]回答表!X46="●","●","")</f>
        <v/>
      </c>
      <c r="O200" s="99"/>
      <c r="P200" s="99"/>
      <c r="Q200" s="100"/>
      <c r="R200" s="38"/>
      <c r="S200" s="38"/>
      <c r="T200" s="38"/>
      <c r="U200" s="107" t="str">
        <f>IF([13]回答表!X46="●",[13]回答表!B307,IF([13]回答表!AA46="●",[13]回答表!B324,""))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IF([13]回答表!X46="●",[13]回答表!U313,IF([13]回答表!AA46="●",[13]回答表!U330,""))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IF([13]回答表!X46="●",[13]回答表!G313,IF([13]回答表!AA46="●",[13]回答表!G330,""))</f>
        <v/>
      </c>
      <c r="AN203" s="120"/>
      <c r="AO203" s="120"/>
      <c r="AP203" s="120"/>
      <c r="AQ203" s="120"/>
      <c r="AR203" s="120"/>
      <c r="AS203" s="120"/>
      <c r="AT203" s="121"/>
      <c r="AU203" s="119" t="str">
        <f>IF([13]回答表!X46="●",[13]回答表!G314,IF([13]回答表!AA46="●",[13]回答表!G331,""))</f>
        <v/>
      </c>
      <c r="AV203" s="120"/>
      <c r="AW203" s="120"/>
      <c r="AX203" s="120"/>
      <c r="AY203" s="120"/>
      <c r="AZ203" s="120"/>
      <c r="BA203" s="120"/>
      <c r="BB203" s="121"/>
      <c r="BC203" s="39"/>
      <c r="BD203" s="34"/>
      <c r="BE203" s="34"/>
      <c r="BF203" s="83" t="str">
        <f>IF([13]回答表!X46="●",[13]回答表!X313,IF([13]回答表!AA46="●",[13]回答表!X330,""))</f>
        <v/>
      </c>
      <c r="BG203" s="84"/>
      <c r="BH203" s="84"/>
      <c r="BI203" s="84"/>
      <c r="BJ203" s="83" t="str">
        <f>IF([13]回答表!X46="●",[13]回答表!X314,IF([13]回答表!AA46="●",[13]回答表!X331,""))</f>
        <v/>
      </c>
      <c r="BK203" s="84"/>
      <c r="BL203" s="84"/>
      <c r="BM203" s="87"/>
      <c r="BN203" s="83" t="str">
        <f>IF([13]回答表!X46="●",[13]回答表!X315,IF([13]回答表!AA46="●",[13]回答表!X332,""))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IF([13]回答表!AD46="●","●","")</f>
        <v/>
      </c>
      <c r="O212" s="99"/>
      <c r="P212" s="99"/>
      <c r="Q212" s="100"/>
      <c r="R212" s="38"/>
      <c r="S212" s="38"/>
      <c r="T212" s="38"/>
      <c r="U212" s="107" t="str">
        <f>IF([13]回答表!AD46="●",[13]回答表!B337,"")</f>
        <v/>
      </c>
      <c r="V212" s="108"/>
      <c r="W212" s="108"/>
      <c r="X212" s="108"/>
      <c r="Y212" s="108"/>
      <c r="Z212" s="108"/>
      <c r="AA212" s="108"/>
      <c r="AB212" s="108"/>
      <c r="AC212" s="108"/>
      <c r="AD212" s="108"/>
      <c r="AE212" s="108"/>
      <c r="AF212" s="108"/>
      <c r="AG212" s="108"/>
      <c r="AH212" s="108"/>
      <c r="AI212" s="108"/>
      <c r="AJ212" s="109"/>
      <c r="AK212" s="62"/>
      <c r="AL212" s="62"/>
      <c r="AM212" s="107" t="str">
        <f>IF([13]回答表!AD46="●",[13]回答表!B343,"")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IF([13]回答表!X47="●","●","")</f>
        <v>●</v>
      </c>
      <c r="O224" s="99"/>
      <c r="P224" s="99"/>
      <c r="Q224" s="100"/>
      <c r="R224" s="38"/>
      <c r="S224" s="38"/>
      <c r="T224" s="38"/>
      <c r="U224" s="107" t="str">
        <f>IF([13]回答表!X47="●",[13]回答表!B356,IF([13]回答表!AA47="●",[13]回答表!B379,""))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IF([13]回答表!X47="●",[13]回答表!B362,"")</f>
        <v>窓口業務、開閉栓業務、検針調定業務、収納業務、還付業務、滞納整理業務、給水停止業務、電算処理業務（料金システムを含む）、メーター交換業務、その他付帯業務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IF([13]回答表!X47="●",[13]回答表!B368,IF([13]回答表!AA47="●",[13]回答表!B385,""))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IF([13]回答表!X47="●",[13]回答表!E368,IF([13]回答表!AA47="●",[13]回答表!E385,""))</f>
        <v>22</v>
      </c>
      <c r="BG227" s="84"/>
      <c r="BH227" s="84"/>
      <c r="BI227" s="84"/>
      <c r="BJ227" s="83">
        <f>IF([13]回答表!X47="●",[13]回答表!E369,IF([13]回答表!AA47="●",[13]回答表!E386,""))</f>
        <v>11</v>
      </c>
      <c r="BK227" s="84"/>
      <c r="BL227" s="84"/>
      <c r="BM227" s="87"/>
      <c r="BN227" s="83">
        <f>IF([13]回答表!X47="●",[13]回答表!E370,IF([13]回答表!AA47="●",[13]回答表!E387,""))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IF([13]回答表!AD47="●","●","")</f>
        <v/>
      </c>
      <c r="O236" s="99"/>
      <c r="P236" s="99"/>
      <c r="Q236" s="100"/>
      <c r="R236" s="38"/>
      <c r="S236" s="38"/>
      <c r="T236" s="38"/>
      <c r="U236" s="107" t="str">
        <f>IF([13]回答表!AD47="●",[13]回答表!B392,"")</f>
        <v/>
      </c>
      <c r="V236" s="108"/>
      <c r="W236" s="108"/>
      <c r="X236" s="108"/>
      <c r="Y236" s="108"/>
      <c r="Z236" s="108"/>
      <c r="AA236" s="108"/>
      <c r="AB236" s="108"/>
      <c r="AC236" s="108"/>
      <c r="AD236" s="108"/>
      <c r="AE236" s="108"/>
      <c r="AF236" s="108"/>
      <c r="AG236" s="108"/>
      <c r="AH236" s="108"/>
      <c r="AI236" s="108"/>
      <c r="AJ236" s="109"/>
      <c r="AK236" s="62"/>
      <c r="AL236" s="62"/>
      <c r="AM236" s="107" t="str">
        <f>IF([13]回答表!AD47="●",[13]回答表!B398,"")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IF([13]回答表!X48="●","●","")</f>
        <v/>
      </c>
      <c r="O248" s="99"/>
      <c r="P248" s="99"/>
      <c r="Q248" s="100"/>
      <c r="R248" s="38"/>
      <c r="S248" s="38"/>
      <c r="T248" s="38"/>
      <c r="U248" s="107" t="str">
        <f>IF([13]回答表!X48="●",[13]回答表!B411,IF([13]回答表!AA48="●",[13]回答表!B425,""))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IF([13]回答表!X48="●",[13]回答表!BC418,IF([13]回答表!AA48="●",[13]回答表!BC432,""))</f>
        <v/>
      </c>
      <c r="AR248" s="151"/>
      <c r="AS248" s="151"/>
      <c r="AT248" s="151"/>
      <c r="AU248" s="173" t="s">
        <v>73</v>
      </c>
      <c r="AV248" s="174"/>
      <c r="AW248" s="174"/>
      <c r="AX248" s="175"/>
      <c r="AY248" s="151" t="str">
        <f>IF([13]回答表!X48="●",[13]回答表!BC423,IF([13]回答表!AA48="●",[13]回答表!BC437,""))</f>
        <v/>
      </c>
      <c r="AZ248" s="151"/>
      <c r="BA248" s="151"/>
      <c r="BB248" s="151"/>
      <c r="BC248" s="39"/>
      <c r="BD248" s="34"/>
      <c r="BE248" s="34"/>
      <c r="BF248" s="116" t="str">
        <f>IF([13]回答表!X48="●",[13]回答表!S417,IF([13]回答表!AA48="●",[13]回答表!S431,""))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IF([13]回答表!X48="●",[13]回答表!BC419,IF([13]回答表!AA48="●",[13]回答表!BC433,""))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IF([13]回答表!X48="●",[13]回答表!V417,IF([13]回答表!AA48="●",[13]回答表!V431,""))</f>
        <v/>
      </c>
      <c r="BG251" s="84"/>
      <c r="BH251" s="84"/>
      <c r="BI251" s="84"/>
      <c r="BJ251" s="83" t="str">
        <f>IF([13]回答表!X48="●",[13]回答表!V418,IF([13]回答表!AA48="●",[13]回答表!V432,""))</f>
        <v/>
      </c>
      <c r="BK251" s="84"/>
      <c r="BL251" s="84"/>
      <c r="BM251" s="87"/>
      <c r="BN251" s="83" t="str">
        <f>IF([13]回答表!X48="●",[13]回答表!V419,IF([13]回答表!AA48="●",[13]回答表!V433,""))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IF([13]回答表!X48="●",[13]回答表!BC420,IF([13]回答表!AA48="●",[13]回答表!BC434,""))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IF([13]回答表!X48="●",[13]回答表!BC424,IF([13]回答表!AA48="●",[13]回答表!BC438,""))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IF([13]回答表!X48="●",[13]回答表!BC421,IF([13]回答表!AA48="●",[13]回答表!BC435,""))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IF([13]回答表!X48="●",[13]回答表!BC422,IF([13]回答表!AA48="●",[13]回答表!BC436,""))</f>
        <v/>
      </c>
      <c r="AR256" s="151"/>
      <c r="AS256" s="151"/>
      <c r="AT256" s="151"/>
      <c r="AU256" s="152" t="s">
        <v>79</v>
      </c>
      <c r="AV256" s="153"/>
      <c r="AW256" s="153"/>
      <c r="AX256" s="154"/>
      <c r="AY256" s="158" t="str">
        <f>IF([13]回答表!X48="●",[13]回答表!BC425,IF([13]回答表!AA48="●",[13]回答表!BC439,""))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IF([13]回答表!AD48="●","●","")</f>
        <v/>
      </c>
      <c r="O260" s="99"/>
      <c r="P260" s="99"/>
      <c r="Q260" s="100"/>
      <c r="R260" s="38"/>
      <c r="S260" s="38"/>
      <c r="T260" s="38"/>
      <c r="U260" s="107" t="str">
        <f>IF([13]回答表!AD48="●",[13]回答表!B439,"")</f>
        <v/>
      </c>
      <c r="V260" s="108"/>
      <c r="W260" s="108"/>
      <c r="X260" s="108"/>
      <c r="Y260" s="108"/>
      <c r="Z260" s="108"/>
      <c r="AA260" s="108"/>
      <c r="AB260" s="108"/>
      <c r="AC260" s="108"/>
      <c r="AD260" s="108"/>
      <c r="AE260" s="108"/>
      <c r="AF260" s="108"/>
      <c r="AG260" s="108"/>
      <c r="AH260" s="108"/>
      <c r="AI260" s="108"/>
      <c r="AJ260" s="109"/>
      <c r="AK260" s="55"/>
      <c r="AL260" s="55"/>
      <c r="AM260" s="107" t="str">
        <f>IF([13]回答表!AD48="●",[13]回答表!B445,"")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IF([13]回答表!X49="●","●","")</f>
        <v/>
      </c>
      <c r="O271" s="99"/>
      <c r="P271" s="99"/>
      <c r="Q271" s="100"/>
      <c r="R271" s="38"/>
      <c r="S271" s="38"/>
      <c r="T271" s="38"/>
      <c r="U271" s="107" t="str">
        <f>IF([13]回答表!X49="●",[13]回答表!B458,IF([13]回答表!AA49="●",[13]回答表!B475,""))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IF([13]回答表!X49="●",[13]回答表!B468,IF([13]回答表!AA49="●",[13]回答表!B485,""))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IF([13]回答表!X49="●",[13]回答表!G464,IF([13]回答表!AA49="●",[13]回答表!G481,""))</f>
        <v/>
      </c>
      <c r="AN273" s="120"/>
      <c r="AO273" s="120"/>
      <c r="AP273" s="120"/>
      <c r="AQ273" s="120"/>
      <c r="AR273" s="120"/>
      <c r="AS273" s="120"/>
      <c r="AT273" s="121"/>
      <c r="AU273" s="119" t="str">
        <f>IF([13]回答表!X49="●",[13]回答表!G465,IF([13]回答表!AA49="●",[13]回答表!G482,""))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IF([13]回答表!X49="●",[13]回答表!E468,IF([13]回答表!AA49="●",[13]回答表!E485,""))</f>
        <v/>
      </c>
      <c r="BG274" s="84"/>
      <c r="BH274" s="84"/>
      <c r="BI274" s="84"/>
      <c r="BJ274" s="83" t="str">
        <f>IF([13]回答表!X49="●",[13]回答表!E469,IF([13]回答表!AA49="●",[13]回答表!E486,""))</f>
        <v/>
      </c>
      <c r="BK274" s="84"/>
      <c r="BL274" s="84"/>
      <c r="BM274" s="87"/>
      <c r="BN274" s="83" t="str">
        <f>IF([13]回答表!X49="●",[13]回答表!E470,IF([13]回答表!AA49="●",[13]回答表!E487,""))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IF([13]回答表!AD49="●","●","")</f>
        <v/>
      </c>
      <c r="O283" s="99"/>
      <c r="P283" s="99"/>
      <c r="Q283" s="100"/>
      <c r="R283" s="38"/>
      <c r="S283" s="38"/>
      <c r="T283" s="38"/>
      <c r="U283" s="107" t="str">
        <f>IF([13]回答表!AD49="●",[13]回答表!B492,"")</f>
        <v/>
      </c>
      <c r="V283" s="108"/>
      <c r="W283" s="108"/>
      <c r="X283" s="108"/>
      <c r="Y283" s="108"/>
      <c r="Z283" s="108"/>
      <c r="AA283" s="108"/>
      <c r="AB283" s="108"/>
      <c r="AC283" s="108"/>
      <c r="AD283" s="108"/>
      <c r="AE283" s="108"/>
      <c r="AF283" s="108"/>
      <c r="AG283" s="108"/>
      <c r="AH283" s="108"/>
      <c r="AI283" s="108"/>
      <c r="AJ283" s="109"/>
      <c r="AK283" s="49"/>
      <c r="AL283" s="49"/>
      <c r="AM283" s="107" t="str">
        <f>IF([13]回答表!AD49="●",[13]回答表!B498,"")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IF([13]回答表!R50="●",[13]回答表!B511,"")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5" priority="2">
      <formula>$BB$25="○"</formula>
    </cfRule>
  </conditionalFormatting>
  <conditionalFormatting sqref="BD28:BD30">
    <cfRule type="expression" dxfId="24"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3B472-F91E-4350-8556-F7CFC511E92E}">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IF(COUNTIF([7]回答表!K15,"*")&gt;0,[7]回答表!K15,"")</f>
        <v>横手市</v>
      </c>
      <c r="D11" s="299"/>
      <c r="E11" s="299"/>
      <c r="F11" s="299"/>
      <c r="G11" s="299"/>
      <c r="H11" s="299"/>
      <c r="I11" s="299"/>
      <c r="J11" s="299"/>
      <c r="K11" s="299"/>
      <c r="L11" s="299"/>
      <c r="M11" s="299"/>
      <c r="N11" s="299"/>
      <c r="O11" s="299"/>
      <c r="P11" s="299"/>
      <c r="Q11" s="299"/>
      <c r="R11" s="299"/>
      <c r="S11" s="299"/>
      <c r="T11" s="299"/>
      <c r="U11" s="306" t="str">
        <f>IF(COUNTIF([7]回答表!F17,"*")&gt;0,[7]回答表!F17,"")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IF(COUNTIF([7]回答表!W17,"*")&gt;0,[7]回答表!W17,"")</f>
        <v>指定介護老人福祉施設</v>
      </c>
      <c r="AP11" s="301"/>
      <c r="AQ11" s="301"/>
      <c r="AR11" s="301"/>
      <c r="AS11" s="301"/>
      <c r="AT11" s="301"/>
      <c r="AU11" s="301"/>
      <c r="AV11" s="301"/>
      <c r="AW11" s="301"/>
      <c r="AX11" s="301"/>
      <c r="AY11" s="301"/>
      <c r="AZ11" s="301"/>
      <c r="BA11" s="301"/>
      <c r="BB11" s="301"/>
      <c r="BC11" s="301"/>
      <c r="BD11" s="301"/>
      <c r="BE11" s="301"/>
      <c r="BF11" s="302"/>
      <c r="BG11" s="305" t="str">
        <f>IF(COUNTIF([7]回答表!F19,"*")&gt;0,[7]回答表!F19,"")</f>
        <v>市営介護サービス事業特別会計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IF([7]回答表!R43="●","●","")</f>
        <v/>
      </c>
      <c r="E24" s="123"/>
      <c r="F24" s="123"/>
      <c r="G24" s="123"/>
      <c r="H24" s="123"/>
      <c r="I24" s="123"/>
      <c r="J24" s="124"/>
      <c r="K24" s="122" t="str">
        <f>IF([7]回答表!R44="●","●","")</f>
        <v/>
      </c>
      <c r="L24" s="123"/>
      <c r="M24" s="123"/>
      <c r="N24" s="123"/>
      <c r="O24" s="123"/>
      <c r="P24" s="123"/>
      <c r="Q24" s="124"/>
      <c r="R24" s="122" t="str">
        <f>IF([7]回答表!R45="●","●","")</f>
        <v/>
      </c>
      <c r="S24" s="123"/>
      <c r="T24" s="123"/>
      <c r="U24" s="123"/>
      <c r="V24" s="123"/>
      <c r="W24" s="123"/>
      <c r="X24" s="124"/>
      <c r="Y24" s="122" t="str">
        <f>IF([7]回答表!R46="●","●","")</f>
        <v/>
      </c>
      <c r="Z24" s="123"/>
      <c r="AA24" s="123"/>
      <c r="AB24" s="123"/>
      <c r="AC24" s="123"/>
      <c r="AD24" s="123"/>
      <c r="AE24" s="124"/>
      <c r="AF24" s="122" t="str">
        <f>IF([7]回答表!R47="●","●","")</f>
        <v/>
      </c>
      <c r="AG24" s="123"/>
      <c r="AH24" s="123"/>
      <c r="AI24" s="123"/>
      <c r="AJ24" s="123"/>
      <c r="AK24" s="123"/>
      <c r="AL24" s="124"/>
      <c r="AM24" s="122" t="str">
        <f>IF([7]回答表!R48="●","●","")</f>
        <v/>
      </c>
      <c r="AN24" s="123"/>
      <c r="AO24" s="123"/>
      <c r="AP24" s="123"/>
      <c r="AQ24" s="123"/>
      <c r="AR24" s="123"/>
      <c r="AS24" s="124"/>
      <c r="AT24" s="122" t="str">
        <f>IF([7]回答表!R49="●","●","")</f>
        <v/>
      </c>
      <c r="AU24" s="123"/>
      <c r="AV24" s="123"/>
      <c r="AW24" s="123"/>
      <c r="AX24" s="123"/>
      <c r="AY24" s="123"/>
      <c r="AZ24" s="124"/>
      <c r="BA24" s="18"/>
      <c r="BB24" s="119" t="str">
        <f>IF([7]回答表!R50="●","●","")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IF([7]回答表!X43="●","●","")</f>
        <v/>
      </c>
      <c r="O36" s="99"/>
      <c r="P36" s="99"/>
      <c r="Q36" s="100"/>
      <c r="R36" s="38"/>
      <c r="S36" s="38"/>
      <c r="T36" s="38"/>
      <c r="U36" s="107" t="str">
        <f>IF([7]回答表!X43="●",[7]回答表!B59,IF([7]回答表!AA43="●",[7]回答表!B79,""))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IF([7]回答表!X43="●",[7]回答表!S65,IF([7]回答表!AA43="●",[7]回答表!S85,""))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IF([7]回答表!X43="●",[7]回答表!G65,IF([7]回答表!AA43="●",[7]回答表!G85,""))</f>
        <v/>
      </c>
      <c r="AN38" s="120"/>
      <c r="AO38" s="120"/>
      <c r="AP38" s="120"/>
      <c r="AQ38" s="120"/>
      <c r="AR38" s="120"/>
      <c r="AS38" s="120"/>
      <c r="AT38" s="121"/>
      <c r="AU38" s="119" t="str">
        <f>IF([7]回答表!X43="●",[7]回答表!G66,IF([7]回答表!AA43="●",[7]回答表!G86,""))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IF([7]回答表!X43="●",[7]回答表!V65,IF([7]回答表!AA43="●",[7]回答表!V85,""))</f>
        <v/>
      </c>
      <c r="BG39" s="249"/>
      <c r="BH39" s="249"/>
      <c r="BI39" s="250"/>
      <c r="BJ39" s="83" t="str">
        <f>IF([7]回答表!X43="●",[7]回答表!V66,IF([7]回答表!AA43="●",[7]回答表!V86,""))</f>
        <v/>
      </c>
      <c r="BK39" s="249"/>
      <c r="BL39" s="249"/>
      <c r="BM39" s="250"/>
      <c r="BN39" s="83" t="str">
        <f>IF([7]回答表!X43="●",[7]回答表!V67,IF([7]回答表!AA43="●",[7]回答表!V87,""))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IF([7]回答表!X43="●",[7]回答表!O71,IF([7]回答表!AA43="●",[7]回答表!O91,""))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IF([7]回答表!X43="●",[7]回答表!O72,IF([7]回答表!AA43="●",[7]回答表!O92,""))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IF([7]回答表!AA43="●","●","")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IF([7]回答表!X43="●",[7]回答表!O73,IF([7]回答表!AA43="●",[7]回答表!O93,""))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IF([7]回答表!X43="●",[7]回答表!O74,IF([7]回答表!AA43="●",[7]回答表!O94,""))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IF([7]回答表!X43="●",[7]回答表!AG71,IF([7]回答表!AA43="●",[7]回答表!AG91,""))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IF([7]回答表!X43="●",[7]回答表!AG72,IF([7]回答表!AA43="●",[7]回答表!AG92,""))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IF([7]回答表!AD43="●","●","")</f>
        <v/>
      </c>
      <c r="O51" s="99"/>
      <c r="P51" s="99"/>
      <c r="Q51" s="100"/>
      <c r="R51" s="38"/>
      <c r="S51" s="38"/>
      <c r="T51" s="38"/>
      <c r="U51" s="107" t="str">
        <f>IF([7]回答表!AD43="●",[7]回答表!B99,"")</f>
        <v/>
      </c>
      <c r="V51" s="108"/>
      <c r="W51" s="108"/>
      <c r="X51" s="108"/>
      <c r="Y51" s="108"/>
      <c r="Z51" s="108"/>
      <c r="AA51" s="108"/>
      <c r="AB51" s="108"/>
      <c r="AC51" s="108"/>
      <c r="AD51" s="108"/>
      <c r="AE51" s="108"/>
      <c r="AF51" s="108"/>
      <c r="AG51" s="108"/>
      <c r="AH51" s="108"/>
      <c r="AI51" s="108"/>
      <c r="AJ51" s="109"/>
      <c r="AK51" s="55"/>
      <c r="AL51" s="55"/>
      <c r="AM51" s="107" t="str">
        <f>IF([7]回答表!AD43="●",[7]回答表!B104,"")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IF([7]回答表!X44="●","●","")</f>
        <v/>
      </c>
      <c r="O62" s="99"/>
      <c r="P62" s="99"/>
      <c r="Q62" s="100"/>
      <c r="R62" s="38"/>
      <c r="S62" s="38"/>
      <c r="T62" s="38"/>
      <c r="U62" s="107" t="str">
        <f>IF([7]回答表!X44="●",[7]回答表!B115,IF([7]回答表!AA44="●",[7]回答表!B127,""))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IF([7]回答表!X44="●",[7]回答表!S121,IF([7]回答表!AA44="●",[7]回答表!S133,""))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IF([7]回答表!X44="●",[7]回答表!J121,IF([7]回答表!AA44="●",[7]回答表!J133,""))</f>
        <v/>
      </c>
      <c r="AN65" s="120"/>
      <c r="AO65" s="120"/>
      <c r="AP65" s="120"/>
      <c r="AQ65" s="120"/>
      <c r="AR65" s="120"/>
      <c r="AS65" s="120"/>
      <c r="AT65" s="121"/>
      <c r="AU65" s="119" t="str">
        <f>IF([7]回答表!X44="●",[7]回答表!J122,IF([7]回答表!AA44="●",[7]回答表!J134,""))</f>
        <v/>
      </c>
      <c r="AV65" s="120"/>
      <c r="AW65" s="120"/>
      <c r="AX65" s="120"/>
      <c r="AY65" s="120"/>
      <c r="AZ65" s="120"/>
      <c r="BA65" s="120"/>
      <c r="BB65" s="121"/>
      <c r="BC65" s="39"/>
      <c r="BD65" s="34"/>
      <c r="BE65" s="34"/>
      <c r="BF65" s="83" t="str">
        <f>IF([7]回答表!X44="●",[7]回答表!V121,IF([7]回答表!AA44="●",[7]回答表!V133,""))</f>
        <v/>
      </c>
      <c r="BG65" s="84"/>
      <c r="BH65" s="84"/>
      <c r="BI65" s="84"/>
      <c r="BJ65" s="83" t="str">
        <f>IF([7]回答表!X44="●",[7]回答表!V122,IF([7]回答表!AA44="●",[7]回答表!V134,""))</f>
        <v/>
      </c>
      <c r="BK65" s="84"/>
      <c r="BL65" s="84"/>
      <c r="BM65" s="84"/>
      <c r="BN65" s="83" t="str">
        <f>IF([7]回答表!X44="●",[7]回答表!V123,IF([7]回答表!AA44="●",[7]回答表!V135,""))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IF([7]回答表!AA44="●","●","")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IF([7]回答表!AD44="●","●","")</f>
        <v/>
      </c>
      <c r="O74" s="99"/>
      <c r="P74" s="99"/>
      <c r="Q74" s="100"/>
      <c r="R74" s="38"/>
      <c r="S74" s="38"/>
      <c r="T74" s="38"/>
      <c r="U74" s="107" t="str">
        <f>IF([7]回答表!AD44="●",[7]回答表!B140,"")</f>
        <v/>
      </c>
      <c r="V74" s="108"/>
      <c r="W74" s="108"/>
      <c r="X74" s="108"/>
      <c r="Y74" s="108"/>
      <c r="Z74" s="108"/>
      <c r="AA74" s="108"/>
      <c r="AB74" s="108"/>
      <c r="AC74" s="108"/>
      <c r="AD74" s="108"/>
      <c r="AE74" s="108"/>
      <c r="AF74" s="108"/>
      <c r="AG74" s="108"/>
      <c r="AH74" s="108"/>
      <c r="AI74" s="108"/>
      <c r="AJ74" s="109"/>
      <c r="AK74" s="55"/>
      <c r="AL74" s="55"/>
      <c r="AM74" s="107" t="str">
        <f>IF([7]回答表!AD44="●",[7]回答表!B146,"")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IF([7]回答表!F17="水道事業",IF([7]回答表!X45="●","●",""),"")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IF([7]回答表!F17="水道事業",IF([7]回答表!X45="●",[7]回答表!B158,IF([7]回答表!AA45="●",[7]回答表!B223,"")),"")</f>
        <v/>
      </c>
      <c r="AN86" s="212"/>
      <c r="AO86" s="212"/>
      <c r="AP86" s="212"/>
      <c r="AQ86" s="212"/>
      <c r="AR86" s="212"/>
      <c r="AS86" s="212"/>
      <c r="AT86" s="212"/>
      <c r="AU86" s="212"/>
      <c r="AV86" s="212"/>
      <c r="AW86" s="212"/>
      <c r="AX86" s="212"/>
      <c r="AY86" s="212"/>
      <c r="AZ86" s="212"/>
      <c r="BA86" s="212"/>
      <c r="BB86" s="212"/>
      <c r="BC86" s="213"/>
      <c r="BD86" s="34"/>
      <c r="BE86" s="34"/>
      <c r="BF86" s="116" t="str">
        <f>IF([7]回答表!F17="水道事業",IF([7]回答表!X45="●",[7]回答表!B212,IF([7]回答表!AA45="●",[7]回答表!B278,"")),"")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IF([7]回答表!F17="水道事業",IF([7]回答表!X45="●",[7]回答表!J166,IF([7]回答表!AA45="●",[7]回答表!J231,"")),"")</f>
        <v/>
      </c>
      <c r="V88" s="120"/>
      <c r="W88" s="120"/>
      <c r="X88" s="120"/>
      <c r="Y88" s="120"/>
      <c r="Z88" s="120"/>
      <c r="AA88" s="120"/>
      <c r="AB88" s="121"/>
      <c r="AC88" s="119" t="str">
        <f>IF([7]回答表!F17="水道事業",IF([7]回答表!X45="●",[7]回答表!J173,IF([7]回答表!AA45="●",[7]回答表!J238,"")),"")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IF([7]回答表!F17="水道事業",IF([7]回答表!X45="●",[7]回答表!E212,IF([7]回答表!AA45="●",[7]回答表!E278,"")),"")</f>
        <v/>
      </c>
      <c r="BG89" s="84"/>
      <c r="BH89" s="84"/>
      <c r="BI89" s="84"/>
      <c r="BJ89" s="83" t="str">
        <f>IF([7]回答表!F17="水道事業",IF([7]回答表!X45="●",[7]回答表!E213,IF([7]回答表!AA45="●",[7]回答表!E279,"")),"")</f>
        <v/>
      </c>
      <c r="BK89" s="84"/>
      <c r="BL89" s="84"/>
      <c r="BM89" s="84"/>
      <c r="BN89" s="83" t="str">
        <f>IF([7]回答表!F17="水道事業",IF([7]回答表!X45="●",[7]回答表!E214,IF([7]回答表!AA45="●",[7]回答表!E280,"")),"")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IF([7]回答表!F17="水道事業",IF([7]回答表!AA45="●","●",""),"")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IF([7]回答表!F17="水道事業",IF([7]回答表!X45="●",[7]回答表!J176,IF([7]回答表!AA45="●",[7]回答表!J241,"")),"")</f>
        <v/>
      </c>
      <c r="V93" s="120"/>
      <c r="W93" s="120"/>
      <c r="X93" s="120"/>
      <c r="Y93" s="120"/>
      <c r="Z93" s="120"/>
      <c r="AA93" s="120"/>
      <c r="AB93" s="121"/>
      <c r="AC93" s="119" t="str">
        <f>IF([7]回答表!F17="水道事業",IF([7]回答表!X45="●",[7]回答表!J180,IF([7]回答表!AA45="●",[7]回答表!J245,"")),"")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IF([7]回答表!F17="水道事業",IF([7]回答表!AD45="○","○",""),"")</f>
        <v/>
      </c>
      <c r="O98" s="99"/>
      <c r="P98" s="99"/>
      <c r="Q98" s="100"/>
      <c r="R98" s="38"/>
      <c r="S98" s="38"/>
      <c r="T98" s="38"/>
      <c r="U98" s="107" t="str">
        <f>IF([7]回答表!F17="水道事業",IF([7]回答表!AD45="●",[7]回答表!B289,""),"")</f>
        <v/>
      </c>
      <c r="V98" s="108"/>
      <c r="W98" s="108"/>
      <c r="X98" s="108"/>
      <c r="Y98" s="108"/>
      <c r="Z98" s="108"/>
      <c r="AA98" s="108"/>
      <c r="AB98" s="108"/>
      <c r="AC98" s="108"/>
      <c r="AD98" s="108"/>
      <c r="AE98" s="108"/>
      <c r="AF98" s="108"/>
      <c r="AG98" s="108"/>
      <c r="AH98" s="108"/>
      <c r="AI98" s="108"/>
      <c r="AJ98" s="109"/>
      <c r="AK98" s="55"/>
      <c r="AL98" s="55"/>
      <c r="AM98" s="107" t="str">
        <f>IF([7]回答表!F17="水道事業",IF([7]回答表!AD45="●",[7]回答表!B295,""),"")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IF([7]回答表!F17="簡易水道事業",IF([7]回答表!X45="●",[7]回答表!B158,IF([7]回答表!AA45="●",[7]回答表!B223,"")),"")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IF([7]回答表!F17="簡易水道事業",IF([7]回答表!X45="●",[7]回答表!B212,IF([7]回答表!AA45="●",[7]回答表!B278,"")),"")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IF([7]回答表!F17="簡易水道事業",IF([7]回答表!X45="●","●",""),"")</f>
        <v/>
      </c>
      <c r="O112" s="99"/>
      <c r="P112" s="99"/>
      <c r="Q112" s="100"/>
      <c r="R112" s="38"/>
      <c r="S112" s="38"/>
      <c r="T112" s="38"/>
      <c r="U112" s="119" t="str">
        <f>IF([7]回答表!F17="簡易水道事業",IF([7]回答表!X45="●",[7]回答表!Y185,IF([7]回答表!AA45="●",[7]回答表!Y251,"")),"")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IF([7]回答表!F17="簡易水道事業",IF([7]回答表!X45="●",[7]回答表!E212,IF([7]回答表!AA45="●",[7]回答表!E278,"")),"")</f>
        <v/>
      </c>
      <c r="BG113" s="84"/>
      <c r="BH113" s="84"/>
      <c r="BI113" s="84"/>
      <c r="BJ113" s="83" t="str">
        <f>IF([7]回答表!F17="簡易水道事業",IF([7]回答表!X45="●",[7]回答表!E213,IF([7]回答表!AA45="●",[7]回答表!E279,"")),"")</f>
        <v/>
      </c>
      <c r="BK113" s="84"/>
      <c r="BL113" s="84"/>
      <c r="BM113" s="84"/>
      <c r="BN113" s="83" t="str">
        <f>IF([7]回答表!F17="簡易水道事業",IF([7]回答表!X45="●",[7]回答表!E214,IF([7]回答表!AA45="●",[7]回答表!E280,"")),"")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IF([7]回答表!F17="簡易水道事業",IF([7]回答表!X45="●",[7]回答表!Y186,IF([7]回答表!AA45="●",[7]回答表!Y252,"")),"")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IF([7]回答表!F17="簡易水道事業",IF([7]回答表!AA45="●","●",""),"")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IF([7]回答表!F17="簡易水道事業",IF([7]回答表!X45="●",[7]回答表!Y187,IF([7]回答表!AA45="●",[7]回答表!Y253,"")),"")</f>
        <v/>
      </c>
      <c r="V122" s="120"/>
      <c r="W122" s="120"/>
      <c r="X122" s="120"/>
      <c r="Y122" s="120"/>
      <c r="Z122" s="120"/>
      <c r="AA122" s="120"/>
      <c r="AB122" s="120"/>
      <c r="AC122" s="120"/>
      <c r="AD122" s="120"/>
      <c r="AE122" s="120"/>
      <c r="AF122" s="120"/>
      <c r="AG122" s="120"/>
      <c r="AH122" s="120"/>
      <c r="AI122" s="120"/>
      <c r="AJ122" s="121"/>
      <c r="AK122" s="18"/>
      <c r="AL122" s="18"/>
      <c r="AM122" s="228" t="str">
        <f>IF([7]回答表!F17="簡易水道事業",IF([7]回答表!X45="●",[7]回答表!Y189,IF([7]回答表!AA45="●",[7]回答表!Y255,"")),"")</f>
        <v/>
      </c>
      <c r="AN122" s="228"/>
      <c r="AO122" s="228"/>
      <c r="AP122" s="228"/>
      <c r="AQ122" s="228"/>
      <c r="AR122" s="228"/>
      <c r="AS122" s="228" t="str">
        <f>IF([7]回答表!F17="簡易水道事業",IF([7]回答表!X45="●",[7]回答表!Y190,IF([7]回答表!AA45="●",[7]回答表!Y256,"")),"")</f>
        <v/>
      </c>
      <c r="AT122" s="228"/>
      <c r="AU122" s="228"/>
      <c r="AV122" s="228"/>
      <c r="AW122" s="228"/>
      <c r="AX122" s="228"/>
      <c r="AY122" s="228" t="str">
        <f>IF([7]回答表!F17="簡易水道事業",IF([7]回答表!X45="●",[7]回答表!Y191,IF([7]回答表!AA45="●",[7]回答表!Y257,"")),"")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IF([7]回答表!F17="簡易水道事業",IF([7]回答表!AD45="●","●",""),"")</f>
        <v/>
      </c>
      <c r="O127" s="99"/>
      <c r="P127" s="99"/>
      <c r="Q127" s="100"/>
      <c r="R127" s="38"/>
      <c r="S127" s="38"/>
      <c r="T127" s="38"/>
      <c r="U127" s="107" t="str">
        <f>IF([7]回答表!F17="簡易水道事業",IF([7]回答表!AD45="●",[7]回答表!B289,""),"")</f>
        <v/>
      </c>
      <c r="V127" s="108"/>
      <c r="W127" s="108"/>
      <c r="X127" s="108"/>
      <c r="Y127" s="108"/>
      <c r="Z127" s="108"/>
      <c r="AA127" s="108"/>
      <c r="AB127" s="108"/>
      <c r="AC127" s="108"/>
      <c r="AD127" s="108"/>
      <c r="AE127" s="108"/>
      <c r="AF127" s="108"/>
      <c r="AG127" s="108"/>
      <c r="AH127" s="108"/>
      <c r="AI127" s="108"/>
      <c r="AJ127" s="109"/>
      <c r="AK127" s="55"/>
      <c r="AL127" s="55"/>
      <c r="AM127" s="107" t="str">
        <f>IF([7]回答表!F17="簡易水道事業",IF([7]回答表!AD45="●",[7]回答表!B295,""),"")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IF([7]回答表!F17="下水道事業",IF([7]回答表!X45="●","●",""),"")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IF([7]回答表!F17="下水道事業",IF([7]回答表!X45="●",[7]回答表!B158,IF([7]回答表!AA45="●",[7]回答表!B223,"")),"")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IF([7]回答表!F17="下水道事業",IF([7]回答表!X45="●",[7]回答表!B212,IF([7]回答表!AA45="●",[7]回答表!B278,"")),"")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IF([7]回答表!F17="下水道事業",IF([7]回答表!X45="●",[7]回答表!Y193,IF([7]回答表!AA45="●",[7]回答表!Y259,"")),"")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IF([7]回答表!F17="下水道事業",IF([7]回答表!X45="●",[7]回答表!E212,IF([7]回答表!AA45="●",[7]回答表!E278,"")),"")</f>
        <v/>
      </c>
      <c r="BG142" s="84"/>
      <c r="BH142" s="84"/>
      <c r="BI142" s="84"/>
      <c r="BJ142" s="83" t="str">
        <f>IF([7]回答表!F17="下水道事業",IF([7]回答表!X45="●",[7]回答表!E213,IF([7]回答表!AA45="●",[7]回答表!E279,"")),"")</f>
        <v/>
      </c>
      <c r="BK142" s="84"/>
      <c r="BL142" s="84"/>
      <c r="BM142" s="84"/>
      <c r="BN142" s="83" t="str">
        <f>IF([7]回答表!F17="下水道事業",IF([7]回答表!X45="●",[7]回答表!E214,IF([7]回答表!AA45="●",[7]回答表!E280,"")),"")</f>
        <v/>
      </c>
      <c r="BO142" s="84"/>
      <c r="BP142" s="84"/>
      <c r="BQ142" s="87"/>
      <c r="BR142" s="37"/>
      <c r="BX142" s="211" t="str">
        <f>IF([7]回答表!AQ20="下水道事業",IF([7]回答表!BI48="○",[7]回答表!AM161,IF([7]回答表!BL48="○",[7]回答表!AM226,"")),"")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IF([7]回答表!F17="下水道事業",IF([7]回答表!X45="●",[7]回答表!Y195,IF([7]回答表!AA45="●",[7]回答表!Y261,"")),"")</f>
        <v/>
      </c>
      <c r="V147" s="120"/>
      <c r="W147" s="120"/>
      <c r="X147" s="120"/>
      <c r="Y147" s="120"/>
      <c r="Z147" s="120"/>
      <c r="AA147" s="120"/>
      <c r="AB147" s="121"/>
      <c r="AC147" s="119" t="str">
        <f>IF([7]回答表!F17="下水道事業",IF([7]回答表!X45="●",[7]回答表!Y196,IF([7]回答表!AA45="●",[7]回答表!Y262,"")),"")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IF([7]回答表!F17="下水道事業",IF([7]回答表!X45="●",[7]回答表!Y198,IF([7]回答表!AA45="●",[7]回答表!Y264,"")),"")</f>
        <v/>
      </c>
      <c r="V153" s="120"/>
      <c r="W153" s="120"/>
      <c r="X153" s="120"/>
      <c r="Y153" s="120"/>
      <c r="Z153" s="120"/>
      <c r="AA153" s="120"/>
      <c r="AB153" s="121"/>
      <c r="AC153" s="119" t="str">
        <f>IF([7]回答表!F17="下水道事業",IF([7]回答表!X45="●",[7]回答表!Y199,IF([7]回答表!AA45="●",[7]回答表!Y265,"")),"")</f>
        <v/>
      </c>
      <c r="AD153" s="120"/>
      <c r="AE153" s="120"/>
      <c r="AF153" s="120"/>
      <c r="AG153" s="120"/>
      <c r="AH153" s="120"/>
      <c r="AI153" s="120"/>
      <c r="AJ153" s="121"/>
      <c r="AK153" s="119" t="str">
        <f>IF([7]回答表!F17="下水道事業",IF([7]回答表!X45="●",[7]回答表!Y200,IF([7]回答表!AA45="●",[7]回答表!Y266,"")),"")</f>
        <v/>
      </c>
      <c r="AL153" s="120"/>
      <c r="AM153" s="120"/>
      <c r="AN153" s="120"/>
      <c r="AO153" s="120"/>
      <c r="AP153" s="120"/>
      <c r="AQ153" s="120"/>
      <c r="AR153" s="121"/>
      <c r="AS153" s="119" t="str">
        <f>IF([7]回答表!F17="下水道事業",IF([7]回答表!X45="●",[7]回答表!Y201,IF([7]回答表!AA45="●",[7]回答表!Y267,"")),"")</f>
        <v/>
      </c>
      <c r="AT153" s="120"/>
      <c r="AU153" s="120"/>
      <c r="AV153" s="120"/>
      <c r="AW153" s="120"/>
      <c r="AX153" s="120"/>
      <c r="AY153" s="120"/>
      <c r="AZ153" s="121"/>
      <c r="BA153" s="119" t="str">
        <f>IF([7]回答表!F17="下水道事業",IF([7]回答表!X45="●",[7]回答表!Y202,IF([7]回答表!AA45="●",[7]回答表!Y268,"")),"")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IF([7]回答表!F17="下水道事業",IF([7]回答表!AA45="●","●",""),"")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IF([7]回答表!F17="下水道事業",IF([7]回答表!X45="●",[7]回答表!Y207,IF([7]回答表!AA45="●",[7]回答表!Y273,"")),"")</f>
        <v/>
      </c>
      <c r="V159" s="120"/>
      <c r="W159" s="120"/>
      <c r="X159" s="120"/>
      <c r="Y159" s="120"/>
      <c r="Z159" s="120"/>
      <c r="AA159" s="120"/>
      <c r="AB159" s="121"/>
      <c r="AC159" s="119" t="str">
        <f>IF([7]回答表!F17="下水道事業",IF([7]回答表!X45="●",[7]回答表!Y208,IF([7]回答表!AA45="●",[7]回答表!Y274,"")),"")</f>
        <v/>
      </c>
      <c r="AD159" s="120"/>
      <c r="AE159" s="120"/>
      <c r="AF159" s="120"/>
      <c r="AG159" s="120"/>
      <c r="AH159" s="120"/>
      <c r="AI159" s="120"/>
      <c r="AJ159" s="121"/>
      <c r="AK159" s="119" t="str">
        <f>IF([7]回答表!F17="下水道事業",IF([7]回答表!X45="●",[7]回答表!Y209,IF([7]回答表!AA45="●",[7]回答表!Y275,"")),"")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IF([7]回答表!F17="下水道事業",IF([7]回答表!AD45="●","●",""),"")</f>
        <v/>
      </c>
      <c r="O164" s="99"/>
      <c r="P164" s="99"/>
      <c r="Q164" s="100"/>
      <c r="R164" s="38"/>
      <c r="S164" s="38"/>
      <c r="T164" s="38"/>
      <c r="U164" s="107" t="str">
        <f>IF([7]回答表!F17="下水道事業",IF([7]回答表!AD45="●",[7]回答表!B289,""),"")</f>
        <v/>
      </c>
      <c r="V164" s="108"/>
      <c r="W164" s="108"/>
      <c r="X164" s="108"/>
      <c r="Y164" s="108"/>
      <c r="Z164" s="108"/>
      <c r="AA164" s="108"/>
      <c r="AB164" s="108"/>
      <c r="AC164" s="108"/>
      <c r="AD164" s="108"/>
      <c r="AE164" s="108"/>
      <c r="AF164" s="108"/>
      <c r="AG164" s="108"/>
      <c r="AH164" s="108"/>
      <c r="AI164" s="108"/>
      <c r="AJ164" s="109"/>
      <c r="AK164" s="55"/>
      <c r="AL164" s="55"/>
      <c r="AM164" s="107" t="str">
        <f>IF([7]回答表!F17="下水道事業",IF([7]回答表!AD45="●",[7]回答表!B295,""),"")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IF([7]回答表!BD17="●",IF([7]回答表!X45="●","●",""),"")</f>
        <v/>
      </c>
      <c r="O176" s="99"/>
      <c r="P176" s="99"/>
      <c r="Q176" s="100"/>
      <c r="R176" s="38"/>
      <c r="S176" s="38"/>
      <c r="T176" s="38"/>
      <c r="U176" s="107" t="str">
        <f>IF([7]回答表!BD17="●",IF([7]回答表!X45="●",[7]回答表!B158,IF([7]回答表!AA45="●",[7]回答表!B223,"")),"")</f>
        <v/>
      </c>
      <c r="V176" s="108"/>
      <c r="W176" s="108"/>
      <c r="X176" s="108"/>
      <c r="Y176" s="108"/>
      <c r="Z176" s="108"/>
      <c r="AA176" s="108"/>
      <c r="AB176" s="108"/>
      <c r="AC176" s="108"/>
      <c r="AD176" s="108"/>
      <c r="AE176" s="108"/>
      <c r="AF176" s="108"/>
      <c r="AG176" s="108"/>
      <c r="AH176" s="108"/>
      <c r="AI176" s="108"/>
      <c r="AJ176" s="109"/>
      <c r="AK176" s="49"/>
      <c r="AL176" s="49"/>
      <c r="AM176" s="116" t="str">
        <f>IF([7]回答表!BD17="●",IF([7]回答表!X45="●",[7]回答表!B212,IF([7]回答表!AA45="●",[7]回答表!B278,"")),"")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IF([7]回答表!BD17="●",IF([7]回答表!X45="●",[7]回答表!E212,IF([7]回答表!AA45="●",[7]回答表!E278,"")),"")</f>
        <v/>
      </c>
      <c r="AN179" s="84"/>
      <c r="AO179" s="84"/>
      <c r="AP179" s="84"/>
      <c r="AQ179" s="83" t="str">
        <f>IF([7]回答表!BD17="●",IF([7]回答表!X45="●",[7]回答表!E213,IF([7]回答表!AA45="●",[7]回答表!E279,"")),"")</f>
        <v/>
      </c>
      <c r="AR179" s="84"/>
      <c r="AS179" s="84"/>
      <c r="AT179" s="84"/>
      <c r="AU179" s="83" t="str">
        <f>IF([7]回答表!BD17="●",IF([7]回答表!X45="●",[7]回答表!E214,IF([7]回答表!AA45="●",[7]回答表!E280,"")),"")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IF([7]回答表!BD17="●",IF([7]回答表!AA45="●","●",""),"")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IF([7]回答表!BD17="●",IF([7]回答表!AD45="●","●",""),"")</f>
        <v/>
      </c>
      <c r="O188" s="99"/>
      <c r="P188" s="99"/>
      <c r="Q188" s="100"/>
      <c r="R188" s="38"/>
      <c r="S188" s="38"/>
      <c r="T188" s="38"/>
      <c r="U188" s="107" t="str">
        <f>IF([7]回答表!BD17="●",IF([7]回答表!AD45="●",[7]回答表!B289,""),"")</f>
        <v/>
      </c>
      <c r="V188" s="108"/>
      <c r="W188" s="108"/>
      <c r="X188" s="108"/>
      <c r="Y188" s="108"/>
      <c r="Z188" s="108"/>
      <c r="AA188" s="108"/>
      <c r="AB188" s="108"/>
      <c r="AC188" s="108"/>
      <c r="AD188" s="108"/>
      <c r="AE188" s="108"/>
      <c r="AF188" s="108"/>
      <c r="AG188" s="108"/>
      <c r="AH188" s="108"/>
      <c r="AI188" s="108"/>
      <c r="AJ188" s="109"/>
      <c r="AK188" s="55"/>
      <c r="AL188" s="55"/>
      <c r="AM188" s="107" t="str">
        <f>IF([7]回答表!BD17="●",IF([7]回答表!AD45="●",[7]回答表!B295,""),"")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IF([7]回答表!X46="●","●","")</f>
        <v/>
      </c>
      <c r="O200" s="99"/>
      <c r="P200" s="99"/>
      <c r="Q200" s="100"/>
      <c r="R200" s="38"/>
      <c r="S200" s="38"/>
      <c r="T200" s="38"/>
      <c r="U200" s="107" t="str">
        <f>IF([7]回答表!X46="●",[7]回答表!B307,IF([7]回答表!AA46="●",[7]回答表!B324,""))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IF([7]回答表!X46="●",[7]回答表!U313,IF([7]回答表!AA46="●",[7]回答表!U330,""))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IF([7]回答表!X46="●",[7]回答表!G313,IF([7]回答表!AA46="●",[7]回答表!G330,""))</f>
        <v/>
      </c>
      <c r="AN203" s="120"/>
      <c r="AO203" s="120"/>
      <c r="AP203" s="120"/>
      <c r="AQ203" s="120"/>
      <c r="AR203" s="120"/>
      <c r="AS203" s="120"/>
      <c r="AT203" s="121"/>
      <c r="AU203" s="119" t="str">
        <f>IF([7]回答表!X46="●",[7]回答表!G314,IF([7]回答表!AA46="●",[7]回答表!G331,""))</f>
        <v/>
      </c>
      <c r="AV203" s="120"/>
      <c r="AW203" s="120"/>
      <c r="AX203" s="120"/>
      <c r="AY203" s="120"/>
      <c r="AZ203" s="120"/>
      <c r="BA203" s="120"/>
      <c r="BB203" s="121"/>
      <c r="BC203" s="39"/>
      <c r="BD203" s="34"/>
      <c r="BE203" s="34"/>
      <c r="BF203" s="83" t="str">
        <f>IF([7]回答表!X46="●",[7]回答表!X313,IF([7]回答表!AA46="●",[7]回答表!X330,""))</f>
        <v/>
      </c>
      <c r="BG203" s="84"/>
      <c r="BH203" s="84"/>
      <c r="BI203" s="84"/>
      <c r="BJ203" s="83" t="str">
        <f>IF([7]回答表!X46="●",[7]回答表!X314,IF([7]回答表!AA46="●",[7]回答表!X331,""))</f>
        <v/>
      </c>
      <c r="BK203" s="84"/>
      <c r="BL203" s="84"/>
      <c r="BM203" s="87"/>
      <c r="BN203" s="83" t="str">
        <f>IF([7]回答表!X46="●",[7]回答表!X315,IF([7]回答表!AA46="●",[7]回答表!X332,""))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IF([7]回答表!AA46="●","●","")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IF([7]回答表!AD46="●","●","")</f>
        <v/>
      </c>
      <c r="O212" s="99"/>
      <c r="P212" s="99"/>
      <c r="Q212" s="100"/>
      <c r="R212" s="38"/>
      <c r="S212" s="38"/>
      <c r="T212" s="38"/>
      <c r="U212" s="107" t="str">
        <f>IF([7]回答表!AD46="●",[7]回答表!B337,"")</f>
        <v/>
      </c>
      <c r="V212" s="108"/>
      <c r="W212" s="108"/>
      <c r="X212" s="108"/>
      <c r="Y212" s="108"/>
      <c r="Z212" s="108"/>
      <c r="AA212" s="108"/>
      <c r="AB212" s="108"/>
      <c r="AC212" s="108"/>
      <c r="AD212" s="108"/>
      <c r="AE212" s="108"/>
      <c r="AF212" s="108"/>
      <c r="AG212" s="108"/>
      <c r="AH212" s="108"/>
      <c r="AI212" s="108"/>
      <c r="AJ212" s="109"/>
      <c r="AK212" s="62"/>
      <c r="AL212" s="62"/>
      <c r="AM212" s="107" t="str">
        <f>IF([7]回答表!AD46="●",[7]回答表!B343,"")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IF([7]回答表!X47="●","●","")</f>
        <v/>
      </c>
      <c r="O224" s="99"/>
      <c r="P224" s="99"/>
      <c r="Q224" s="100"/>
      <c r="R224" s="38"/>
      <c r="S224" s="38"/>
      <c r="T224" s="38"/>
      <c r="U224" s="107" t="str">
        <f>IF([7]回答表!X47="●",[7]回答表!B356,IF([7]回答表!AA47="●",[7]回答表!B379,""))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IF([7]回答表!X47="●",[7]回答表!B362,"")</f>
        <v/>
      </c>
      <c r="AO224" s="182"/>
      <c r="AP224" s="182"/>
      <c r="AQ224" s="182"/>
      <c r="AR224" s="182"/>
      <c r="AS224" s="182"/>
      <c r="AT224" s="182"/>
      <c r="AU224" s="182"/>
      <c r="AV224" s="182"/>
      <c r="AW224" s="182"/>
      <c r="AX224" s="182"/>
      <c r="AY224" s="182"/>
      <c r="AZ224" s="182"/>
      <c r="BA224" s="182"/>
      <c r="BB224" s="183"/>
      <c r="BC224" s="39"/>
      <c r="BD224" s="34"/>
      <c r="BE224" s="34"/>
      <c r="BF224" s="116" t="str">
        <f>IF([7]回答表!X47="●",[7]回答表!B368,IF([7]回答表!AA47="●",[7]回答表!B385,""))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IF([7]回答表!X47="●",[7]回答表!E368,IF([7]回答表!AA47="●",[7]回答表!E385,""))</f>
        <v/>
      </c>
      <c r="BG227" s="84"/>
      <c r="BH227" s="84"/>
      <c r="BI227" s="84"/>
      <c r="BJ227" s="83" t="str">
        <f>IF([7]回答表!X47="●",[7]回答表!E369,IF([7]回答表!AA47="●",[7]回答表!E386,""))</f>
        <v/>
      </c>
      <c r="BK227" s="84"/>
      <c r="BL227" s="84"/>
      <c r="BM227" s="87"/>
      <c r="BN227" s="83" t="str">
        <f>IF([7]回答表!X47="●",[7]回答表!E370,IF([7]回答表!AA47="●",[7]回答表!E387,""))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IF([7]回答表!AA47="●","●","")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IF([7]回答表!AD47="●","●","")</f>
        <v/>
      </c>
      <c r="O236" s="99"/>
      <c r="P236" s="99"/>
      <c r="Q236" s="100"/>
      <c r="R236" s="38"/>
      <c r="S236" s="38"/>
      <c r="T236" s="38"/>
      <c r="U236" s="107" t="str">
        <f>IF([7]回答表!AD47="●",[7]回答表!B392,"")</f>
        <v/>
      </c>
      <c r="V236" s="108"/>
      <c r="W236" s="108"/>
      <c r="X236" s="108"/>
      <c r="Y236" s="108"/>
      <c r="Z236" s="108"/>
      <c r="AA236" s="108"/>
      <c r="AB236" s="108"/>
      <c r="AC236" s="108"/>
      <c r="AD236" s="108"/>
      <c r="AE236" s="108"/>
      <c r="AF236" s="108"/>
      <c r="AG236" s="108"/>
      <c r="AH236" s="108"/>
      <c r="AI236" s="108"/>
      <c r="AJ236" s="109"/>
      <c r="AK236" s="62"/>
      <c r="AL236" s="62"/>
      <c r="AM236" s="107" t="str">
        <f>IF([7]回答表!AD47="●",[7]回答表!B398,"")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IF([7]回答表!X48="●","●","")</f>
        <v/>
      </c>
      <c r="O248" s="99"/>
      <c r="P248" s="99"/>
      <c r="Q248" s="100"/>
      <c r="R248" s="38"/>
      <c r="S248" s="38"/>
      <c r="T248" s="38"/>
      <c r="U248" s="107" t="str">
        <f>IF([7]回答表!X48="●",[7]回答表!B411,IF([7]回答表!AA48="●",[7]回答表!B425,""))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IF([7]回答表!X48="●",[7]回答表!BC418,IF([7]回答表!AA48="●",[7]回答表!BC432,""))</f>
        <v/>
      </c>
      <c r="AR248" s="151"/>
      <c r="AS248" s="151"/>
      <c r="AT248" s="151"/>
      <c r="AU248" s="173" t="s">
        <v>73</v>
      </c>
      <c r="AV248" s="174"/>
      <c r="AW248" s="174"/>
      <c r="AX248" s="175"/>
      <c r="AY248" s="151" t="str">
        <f>IF([7]回答表!X48="●",[7]回答表!BC423,IF([7]回答表!AA48="●",[7]回答表!BC437,""))</f>
        <v/>
      </c>
      <c r="AZ248" s="151"/>
      <c r="BA248" s="151"/>
      <c r="BB248" s="151"/>
      <c r="BC248" s="39"/>
      <c r="BD248" s="34"/>
      <c r="BE248" s="34"/>
      <c r="BF248" s="116" t="str">
        <f>IF([7]回答表!X48="●",[7]回答表!S417,IF([7]回答表!AA48="●",[7]回答表!S431,""))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IF([7]回答表!X48="●",[7]回答表!BC419,IF([7]回答表!AA48="●",[7]回答表!BC433,""))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IF([7]回答表!X48="●",[7]回答表!V417,IF([7]回答表!AA48="●",[7]回答表!V431,""))</f>
        <v/>
      </c>
      <c r="BG251" s="84"/>
      <c r="BH251" s="84"/>
      <c r="BI251" s="84"/>
      <c r="BJ251" s="83" t="str">
        <f>IF([7]回答表!X48="●",[7]回答表!V418,IF([7]回答表!AA48="●",[7]回答表!V432,""))</f>
        <v/>
      </c>
      <c r="BK251" s="84"/>
      <c r="BL251" s="84"/>
      <c r="BM251" s="87"/>
      <c r="BN251" s="83" t="str">
        <f>IF([7]回答表!X48="●",[7]回答表!V419,IF([7]回答表!AA48="●",[7]回答表!V433,""))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IF([7]回答表!X48="●",[7]回答表!BC420,IF([7]回答表!AA48="●",[7]回答表!BC434,""))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IF([7]回答表!X48="●",[7]回答表!BC424,IF([7]回答表!AA48="●",[7]回答表!BC438,""))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IF([7]回答表!AA48="●","●","")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IF([7]回答表!X48="●",[7]回答表!BC421,IF([7]回答表!AA48="●",[7]回答表!BC435,""))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IF([7]回答表!X48="●",[7]回答表!BC422,IF([7]回答表!AA48="●",[7]回答表!BC436,""))</f>
        <v/>
      </c>
      <c r="AR256" s="151"/>
      <c r="AS256" s="151"/>
      <c r="AT256" s="151"/>
      <c r="AU256" s="152" t="s">
        <v>79</v>
      </c>
      <c r="AV256" s="153"/>
      <c r="AW256" s="153"/>
      <c r="AX256" s="154"/>
      <c r="AY256" s="158" t="str">
        <f>IF([7]回答表!X48="●",[7]回答表!BC425,IF([7]回答表!AA48="●",[7]回答表!BC439,""))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IF([7]回答表!AD48="●","●","")</f>
        <v/>
      </c>
      <c r="O260" s="99"/>
      <c r="P260" s="99"/>
      <c r="Q260" s="100"/>
      <c r="R260" s="38"/>
      <c r="S260" s="38"/>
      <c r="T260" s="38"/>
      <c r="U260" s="107" t="str">
        <f>IF([7]回答表!AD48="●",[7]回答表!B439,"")</f>
        <v/>
      </c>
      <c r="V260" s="108"/>
      <c r="W260" s="108"/>
      <c r="X260" s="108"/>
      <c r="Y260" s="108"/>
      <c r="Z260" s="108"/>
      <c r="AA260" s="108"/>
      <c r="AB260" s="108"/>
      <c r="AC260" s="108"/>
      <c r="AD260" s="108"/>
      <c r="AE260" s="108"/>
      <c r="AF260" s="108"/>
      <c r="AG260" s="108"/>
      <c r="AH260" s="108"/>
      <c r="AI260" s="108"/>
      <c r="AJ260" s="109"/>
      <c r="AK260" s="55"/>
      <c r="AL260" s="55"/>
      <c r="AM260" s="107" t="str">
        <f>IF([7]回答表!AD48="●",[7]回答表!B445,"")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IF([7]回答表!X49="●","●","")</f>
        <v/>
      </c>
      <c r="O271" s="99"/>
      <c r="P271" s="99"/>
      <c r="Q271" s="100"/>
      <c r="R271" s="38"/>
      <c r="S271" s="38"/>
      <c r="T271" s="38"/>
      <c r="U271" s="107" t="str">
        <f>IF([7]回答表!X49="●",[7]回答表!B458,IF([7]回答表!AA49="●",[7]回答表!B475,""))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IF([7]回答表!X49="●",[7]回答表!B468,IF([7]回答表!AA49="●",[7]回答表!B485,""))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IF([7]回答表!X49="●",[7]回答表!G464,IF([7]回答表!AA49="●",[7]回答表!G481,""))</f>
        <v/>
      </c>
      <c r="AN273" s="120"/>
      <c r="AO273" s="120"/>
      <c r="AP273" s="120"/>
      <c r="AQ273" s="120"/>
      <c r="AR273" s="120"/>
      <c r="AS273" s="120"/>
      <c r="AT273" s="121"/>
      <c r="AU273" s="119" t="str">
        <f>IF([7]回答表!X49="●",[7]回答表!G465,IF([7]回答表!AA49="●",[7]回答表!G482,""))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IF([7]回答表!X49="●",[7]回答表!E468,IF([7]回答表!AA49="●",[7]回答表!E485,""))</f>
        <v/>
      </c>
      <c r="BG274" s="84"/>
      <c r="BH274" s="84"/>
      <c r="BI274" s="84"/>
      <c r="BJ274" s="83" t="str">
        <f>IF([7]回答表!X49="●",[7]回答表!E469,IF([7]回答表!AA49="●",[7]回答表!E486,""))</f>
        <v/>
      </c>
      <c r="BK274" s="84"/>
      <c r="BL274" s="84"/>
      <c r="BM274" s="87"/>
      <c r="BN274" s="83" t="str">
        <f>IF([7]回答表!X49="●",[7]回答表!E470,IF([7]回答表!AA49="●",[7]回答表!E487,""))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IF([7]回答表!AA49="●","●","")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IF([7]回答表!AD49="●","●","")</f>
        <v/>
      </c>
      <c r="O283" s="99"/>
      <c r="P283" s="99"/>
      <c r="Q283" s="100"/>
      <c r="R283" s="38"/>
      <c r="S283" s="38"/>
      <c r="T283" s="38"/>
      <c r="U283" s="107" t="str">
        <f>IF([7]回答表!AD49="●",[7]回答表!B492,"")</f>
        <v/>
      </c>
      <c r="V283" s="108"/>
      <c r="W283" s="108"/>
      <c r="X283" s="108"/>
      <c r="Y283" s="108"/>
      <c r="Z283" s="108"/>
      <c r="AA283" s="108"/>
      <c r="AB283" s="108"/>
      <c r="AC283" s="108"/>
      <c r="AD283" s="108"/>
      <c r="AE283" s="108"/>
      <c r="AF283" s="108"/>
      <c r="AG283" s="108"/>
      <c r="AH283" s="108"/>
      <c r="AI283" s="108"/>
      <c r="AJ283" s="109"/>
      <c r="AK283" s="49"/>
      <c r="AL283" s="49"/>
      <c r="AM283" s="107" t="str">
        <f>IF([7]回答表!AD49="●",[7]回答表!B498,"")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IF([7]回答表!R50="●",[7]回答表!B511,"")</f>
        <v>市直営施設としての役割、運営にあたり、民間事業所では受け入れ困難なケース、及び多様化する住民のニーズに対応し、今後も迅速かつ公平なサービスの提供を継続する必要がある。そのために、業務の効率化や簡素化を進めた事業展開を行って行く。介護職の人員不足により、抜本的な改革の方向性については、近い将来に指定管理制度の導入や一部業務の民間委託も視野に検討していく予定。</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B463-1436-4615-9E06-4B3908123459}">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IF(COUNTIF([6]回答表!K15,"*")&gt;0,[6]回答表!K15,"")</f>
        <v>横手市</v>
      </c>
      <c r="D11" s="299"/>
      <c r="E11" s="299"/>
      <c r="F11" s="299"/>
      <c r="G11" s="299"/>
      <c r="H11" s="299"/>
      <c r="I11" s="299"/>
      <c r="J11" s="299"/>
      <c r="K11" s="299"/>
      <c r="L11" s="299"/>
      <c r="M11" s="299"/>
      <c r="N11" s="299"/>
      <c r="O11" s="299"/>
      <c r="P11" s="299"/>
      <c r="Q11" s="299"/>
      <c r="R11" s="299"/>
      <c r="S11" s="299"/>
      <c r="T11" s="299"/>
      <c r="U11" s="306" t="str">
        <f>IF(COUNTIF([6]回答表!F17,"*")&gt;0,[6]回答表!F17,"")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IF(COUNTIF([6]回答表!W17,"*")&gt;0,[6]回答表!W17,"")</f>
        <v>介護老人保健施設</v>
      </c>
      <c r="AP11" s="301"/>
      <c r="AQ11" s="301"/>
      <c r="AR11" s="301"/>
      <c r="AS11" s="301"/>
      <c r="AT11" s="301"/>
      <c r="AU11" s="301"/>
      <c r="AV11" s="301"/>
      <c r="AW11" s="301"/>
      <c r="AX11" s="301"/>
      <c r="AY11" s="301"/>
      <c r="AZ11" s="301"/>
      <c r="BA11" s="301"/>
      <c r="BB11" s="301"/>
      <c r="BC11" s="301"/>
      <c r="BD11" s="301"/>
      <c r="BE11" s="301"/>
      <c r="BF11" s="302"/>
      <c r="BG11" s="305" t="str">
        <f>IF(COUNTIF([6]回答表!F19,"*")&gt;0,[6]回答表!F19,"")</f>
        <v>市営介護サービス事業特別会計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IF([6]回答表!R43="●","●","")</f>
        <v/>
      </c>
      <c r="E24" s="123"/>
      <c r="F24" s="123"/>
      <c r="G24" s="123"/>
      <c r="H24" s="123"/>
      <c r="I24" s="123"/>
      <c r="J24" s="124"/>
      <c r="K24" s="122" t="str">
        <f>IF([6]回答表!R44="●","●","")</f>
        <v/>
      </c>
      <c r="L24" s="123"/>
      <c r="M24" s="123"/>
      <c r="N24" s="123"/>
      <c r="O24" s="123"/>
      <c r="P24" s="123"/>
      <c r="Q24" s="124"/>
      <c r="R24" s="122" t="str">
        <f>IF([6]回答表!R45="●","●","")</f>
        <v/>
      </c>
      <c r="S24" s="123"/>
      <c r="T24" s="123"/>
      <c r="U24" s="123"/>
      <c r="V24" s="123"/>
      <c r="W24" s="123"/>
      <c r="X24" s="124"/>
      <c r="Y24" s="122" t="str">
        <f>IF([6]回答表!R46="●","●","")</f>
        <v/>
      </c>
      <c r="Z24" s="123"/>
      <c r="AA24" s="123"/>
      <c r="AB24" s="123"/>
      <c r="AC24" s="123"/>
      <c r="AD24" s="123"/>
      <c r="AE24" s="124"/>
      <c r="AF24" s="122" t="str">
        <f>IF([6]回答表!R47="●","●","")</f>
        <v/>
      </c>
      <c r="AG24" s="123"/>
      <c r="AH24" s="123"/>
      <c r="AI24" s="123"/>
      <c r="AJ24" s="123"/>
      <c r="AK24" s="123"/>
      <c r="AL24" s="124"/>
      <c r="AM24" s="122" t="str">
        <f>IF([6]回答表!R48="●","●","")</f>
        <v/>
      </c>
      <c r="AN24" s="123"/>
      <c r="AO24" s="123"/>
      <c r="AP24" s="123"/>
      <c r="AQ24" s="123"/>
      <c r="AR24" s="123"/>
      <c r="AS24" s="124"/>
      <c r="AT24" s="122" t="str">
        <f>IF([6]回答表!R49="●","●","")</f>
        <v/>
      </c>
      <c r="AU24" s="123"/>
      <c r="AV24" s="123"/>
      <c r="AW24" s="123"/>
      <c r="AX24" s="123"/>
      <c r="AY24" s="123"/>
      <c r="AZ24" s="124"/>
      <c r="BA24" s="18"/>
      <c r="BB24" s="119" t="str">
        <f>IF([6]回答表!R50="●","●","")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IF([6]回答表!X43="●","●","")</f>
        <v/>
      </c>
      <c r="O36" s="99"/>
      <c r="P36" s="99"/>
      <c r="Q36" s="100"/>
      <c r="R36" s="38"/>
      <c r="S36" s="38"/>
      <c r="T36" s="38"/>
      <c r="U36" s="107" t="str">
        <f>IF([6]回答表!X43="●",[6]回答表!B59,IF([6]回答表!AA43="●",[6]回答表!B79,""))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IF([6]回答表!X43="●",[6]回答表!S65,IF([6]回答表!AA43="●",[6]回答表!S85,""))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IF([6]回答表!X43="●",[6]回答表!G65,IF([6]回答表!AA43="●",[6]回答表!G85,""))</f>
        <v/>
      </c>
      <c r="AN38" s="120"/>
      <c r="AO38" s="120"/>
      <c r="AP38" s="120"/>
      <c r="AQ38" s="120"/>
      <c r="AR38" s="120"/>
      <c r="AS38" s="120"/>
      <c r="AT38" s="121"/>
      <c r="AU38" s="119" t="str">
        <f>IF([6]回答表!X43="●",[6]回答表!G66,IF([6]回答表!AA43="●",[6]回答表!G86,""))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IF([6]回答表!X43="●",[6]回答表!V65,IF([6]回答表!AA43="●",[6]回答表!V85,""))</f>
        <v/>
      </c>
      <c r="BG39" s="249"/>
      <c r="BH39" s="249"/>
      <c r="BI39" s="250"/>
      <c r="BJ39" s="83" t="str">
        <f>IF([6]回答表!X43="●",[6]回答表!V66,IF([6]回答表!AA43="●",[6]回答表!V86,""))</f>
        <v/>
      </c>
      <c r="BK39" s="249"/>
      <c r="BL39" s="249"/>
      <c r="BM39" s="250"/>
      <c r="BN39" s="83" t="str">
        <f>IF([6]回答表!X43="●",[6]回答表!V67,IF([6]回答表!AA43="●",[6]回答表!V87,""))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IF([6]回答表!X43="●",[6]回答表!O71,IF([6]回答表!AA43="●",[6]回答表!O91,""))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IF([6]回答表!X43="●",[6]回答表!O72,IF([6]回答表!AA43="●",[6]回答表!O92,""))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IF([6]回答表!AA43="●","●","")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IF([6]回答表!X43="●",[6]回答表!O73,IF([6]回答表!AA43="●",[6]回答表!O93,""))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IF([6]回答表!X43="●",[6]回答表!O74,IF([6]回答表!AA43="●",[6]回答表!O94,""))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IF([6]回答表!X43="●",[6]回答表!AG71,IF([6]回答表!AA43="●",[6]回答表!AG91,""))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IF([6]回答表!X43="●",[6]回答表!AG72,IF([6]回答表!AA43="●",[6]回答表!AG92,""))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IF([6]回答表!AD43="●","●","")</f>
        <v/>
      </c>
      <c r="O51" s="99"/>
      <c r="P51" s="99"/>
      <c r="Q51" s="100"/>
      <c r="R51" s="38"/>
      <c r="S51" s="38"/>
      <c r="T51" s="38"/>
      <c r="U51" s="107" t="str">
        <f>IF([6]回答表!AD43="●",[6]回答表!B99,"")</f>
        <v/>
      </c>
      <c r="V51" s="108"/>
      <c r="W51" s="108"/>
      <c r="X51" s="108"/>
      <c r="Y51" s="108"/>
      <c r="Z51" s="108"/>
      <c r="AA51" s="108"/>
      <c r="AB51" s="108"/>
      <c r="AC51" s="108"/>
      <c r="AD51" s="108"/>
      <c r="AE51" s="108"/>
      <c r="AF51" s="108"/>
      <c r="AG51" s="108"/>
      <c r="AH51" s="108"/>
      <c r="AI51" s="108"/>
      <c r="AJ51" s="109"/>
      <c r="AK51" s="55"/>
      <c r="AL51" s="55"/>
      <c r="AM51" s="107" t="str">
        <f>IF([6]回答表!AD43="●",[6]回答表!B104,"")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IF([6]回答表!X44="●","●","")</f>
        <v/>
      </c>
      <c r="O62" s="99"/>
      <c r="P62" s="99"/>
      <c r="Q62" s="100"/>
      <c r="R62" s="38"/>
      <c r="S62" s="38"/>
      <c r="T62" s="38"/>
      <c r="U62" s="107" t="str">
        <f>IF([6]回答表!X44="●",[6]回答表!B115,IF([6]回答表!AA44="●",[6]回答表!B127,""))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IF([6]回答表!X44="●",[6]回答表!S121,IF([6]回答表!AA44="●",[6]回答表!S133,""))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IF([6]回答表!X44="●",[6]回答表!J121,IF([6]回答表!AA44="●",[6]回答表!J133,""))</f>
        <v/>
      </c>
      <c r="AN65" s="120"/>
      <c r="AO65" s="120"/>
      <c r="AP65" s="120"/>
      <c r="AQ65" s="120"/>
      <c r="AR65" s="120"/>
      <c r="AS65" s="120"/>
      <c r="AT65" s="121"/>
      <c r="AU65" s="119" t="str">
        <f>IF([6]回答表!X44="●",[6]回答表!J122,IF([6]回答表!AA44="●",[6]回答表!J134,""))</f>
        <v/>
      </c>
      <c r="AV65" s="120"/>
      <c r="AW65" s="120"/>
      <c r="AX65" s="120"/>
      <c r="AY65" s="120"/>
      <c r="AZ65" s="120"/>
      <c r="BA65" s="120"/>
      <c r="BB65" s="121"/>
      <c r="BC65" s="39"/>
      <c r="BD65" s="34"/>
      <c r="BE65" s="34"/>
      <c r="BF65" s="83" t="str">
        <f>IF([6]回答表!X44="●",[6]回答表!V121,IF([6]回答表!AA44="●",[6]回答表!V133,""))</f>
        <v/>
      </c>
      <c r="BG65" s="84"/>
      <c r="BH65" s="84"/>
      <c r="BI65" s="84"/>
      <c r="BJ65" s="83" t="str">
        <f>IF([6]回答表!X44="●",[6]回答表!V122,IF([6]回答表!AA44="●",[6]回答表!V134,""))</f>
        <v/>
      </c>
      <c r="BK65" s="84"/>
      <c r="BL65" s="84"/>
      <c r="BM65" s="84"/>
      <c r="BN65" s="83" t="str">
        <f>IF([6]回答表!X44="●",[6]回答表!V123,IF([6]回答表!AA44="●",[6]回答表!V135,""))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IF([6]回答表!AA44="●","●","")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IF([6]回答表!AD44="●","●","")</f>
        <v/>
      </c>
      <c r="O74" s="99"/>
      <c r="P74" s="99"/>
      <c r="Q74" s="100"/>
      <c r="R74" s="38"/>
      <c r="S74" s="38"/>
      <c r="T74" s="38"/>
      <c r="U74" s="107" t="str">
        <f>IF([6]回答表!AD44="●",[6]回答表!B140,"")</f>
        <v/>
      </c>
      <c r="V74" s="108"/>
      <c r="W74" s="108"/>
      <c r="X74" s="108"/>
      <c r="Y74" s="108"/>
      <c r="Z74" s="108"/>
      <c r="AA74" s="108"/>
      <c r="AB74" s="108"/>
      <c r="AC74" s="108"/>
      <c r="AD74" s="108"/>
      <c r="AE74" s="108"/>
      <c r="AF74" s="108"/>
      <c r="AG74" s="108"/>
      <c r="AH74" s="108"/>
      <c r="AI74" s="108"/>
      <c r="AJ74" s="109"/>
      <c r="AK74" s="55"/>
      <c r="AL74" s="55"/>
      <c r="AM74" s="107" t="str">
        <f>IF([6]回答表!AD44="●",[6]回答表!B146,"")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IF([6]回答表!F17="水道事業",IF([6]回答表!X45="●","●",""),"")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IF([6]回答表!F17="水道事業",IF([6]回答表!X45="●",[6]回答表!B158,IF([6]回答表!AA45="●",[6]回答表!B223,"")),"")</f>
        <v/>
      </c>
      <c r="AN86" s="212"/>
      <c r="AO86" s="212"/>
      <c r="AP86" s="212"/>
      <c r="AQ86" s="212"/>
      <c r="AR86" s="212"/>
      <c r="AS86" s="212"/>
      <c r="AT86" s="212"/>
      <c r="AU86" s="212"/>
      <c r="AV86" s="212"/>
      <c r="AW86" s="212"/>
      <c r="AX86" s="212"/>
      <c r="AY86" s="212"/>
      <c r="AZ86" s="212"/>
      <c r="BA86" s="212"/>
      <c r="BB86" s="212"/>
      <c r="BC86" s="213"/>
      <c r="BD86" s="34"/>
      <c r="BE86" s="34"/>
      <c r="BF86" s="116" t="str">
        <f>IF([6]回答表!F17="水道事業",IF([6]回答表!X45="●",[6]回答表!B212,IF([6]回答表!AA45="●",[6]回答表!B278,"")),"")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IF([6]回答表!F17="水道事業",IF([6]回答表!X45="●",[6]回答表!J166,IF([6]回答表!AA45="●",[6]回答表!J231,"")),"")</f>
        <v/>
      </c>
      <c r="V88" s="120"/>
      <c r="W88" s="120"/>
      <c r="X88" s="120"/>
      <c r="Y88" s="120"/>
      <c r="Z88" s="120"/>
      <c r="AA88" s="120"/>
      <c r="AB88" s="121"/>
      <c r="AC88" s="119" t="str">
        <f>IF([6]回答表!F17="水道事業",IF([6]回答表!X45="●",[6]回答表!J173,IF([6]回答表!AA45="●",[6]回答表!J238,"")),"")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IF([6]回答表!F17="水道事業",IF([6]回答表!X45="●",[6]回答表!E212,IF([6]回答表!AA45="●",[6]回答表!E278,"")),"")</f>
        <v/>
      </c>
      <c r="BG89" s="84"/>
      <c r="BH89" s="84"/>
      <c r="BI89" s="84"/>
      <c r="BJ89" s="83" t="str">
        <f>IF([6]回答表!F17="水道事業",IF([6]回答表!X45="●",[6]回答表!E213,IF([6]回答表!AA45="●",[6]回答表!E279,"")),"")</f>
        <v/>
      </c>
      <c r="BK89" s="84"/>
      <c r="BL89" s="84"/>
      <c r="BM89" s="84"/>
      <c r="BN89" s="83" t="str">
        <f>IF([6]回答表!F17="水道事業",IF([6]回答表!X45="●",[6]回答表!E214,IF([6]回答表!AA45="●",[6]回答表!E280,"")),"")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IF([6]回答表!F17="水道事業",IF([6]回答表!AA45="●","●",""),"")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IF([6]回答表!F17="水道事業",IF([6]回答表!X45="●",[6]回答表!J176,IF([6]回答表!AA45="●",[6]回答表!J241,"")),"")</f>
        <v/>
      </c>
      <c r="V93" s="120"/>
      <c r="W93" s="120"/>
      <c r="X93" s="120"/>
      <c r="Y93" s="120"/>
      <c r="Z93" s="120"/>
      <c r="AA93" s="120"/>
      <c r="AB93" s="121"/>
      <c r="AC93" s="119" t="str">
        <f>IF([6]回答表!F17="水道事業",IF([6]回答表!X45="●",[6]回答表!J180,IF([6]回答表!AA45="●",[6]回答表!J245,"")),"")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IF([6]回答表!F17="水道事業",IF([6]回答表!AD45="○","○",""),"")</f>
        <v/>
      </c>
      <c r="O98" s="99"/>
      <c r="P98" s="99"/>
      <c r="Q98" s="100"/>
      <c r="R98" s="38"/>
      <c r="S98" s="38"/>
      <c r="T98" s="38"/>
      <c r="U98" s="107" t="str">
        <f>IF([6]回答表!F17="水道事業",IF([6]回答表!AD45="●",[6]回答表!B289,""),"")</f>
        <v/>
      </c>
      <c r="V98" s="108"/>
      <c r="W98" s="108"/>
      <c r="X98" s="108"/>
      <c r="Y98" s="108"/>
      <c r="Z98" s="108"/>
      <c r="AA98" s="108"/>
      <c r="AB98" s="108"/>
      <c r="AC98" s="108"/>
      <c r="AD98" s="108"/>
      <c r="AE98" s="108"/>
      <c r="AF98" s="108"/>
      <c r="AG98" s="108"/>
      <c r="AH98" s="108"/>
      <c r="AI98" s="108"/>
      <c r="AJ98" s="109"/>
      <c r="AK98" s="55"/>
      <c r="AL98" s="55"/>
      <c r="AM98" s="107" t="str">
        <f>IF([6]回答表!F17="水道事業",IF([6]回答表!AD45="●",[6]回答表!B295,""),"")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IF([6]回答表!F17="簡易水道事業",IF([6]回答表!X45="●",[6]回答表!B158,IF([6]回答表!AA45="●",[6]回答表!B223,"")),"")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IF([6]回答表!F17="簡易水道事業",IF([6]回答表!X45="●",[6]回答表!B212,IF([6]回答表!AA45="●",[6]回答表!B278,"")),"")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IF([6]回答表!F17="簡易水道事業",IF([6]回答表!X45="●","●",""),"")</f>
        <v/>
      </c>
      <c r="O112" s="99"/>
      <c r="P112" s="99"/>
      <c r="Q112" s="100"/>
      <c r="R112" s="38"/>
      <c r="S112" s="38"/>
      <c r="T112" s="38"/>
      <c r="U112" s="119" t="str">
        <f>IF([6]回答表!F17="簡易水道事業",IF([6]回答表!X45="●",[6]回答表!Y185,IF([6]回答表!AA45="●",[6]回答表!Y251,"")),"")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IF([6]回答表!F17="簡易水道事業",IF([6]回答表!X45="●",[6]回答表!E212,IF([6]回答表!AA45="●",[6]回答表!E278,"")),"")</f>
        <v/>
      </c>
      <c r="BG113" s="84"/>
      <c r="BH113" s="84"/>
      <c r="BI113" s="84"/>
      <c r="BJ113" s="83" t="str">
        <f>IF([6]回答表!F17="簡易水道事業",IF([6]回答表!X45="●",[6]回答表!E213,IF([6]回答表!AA45="●",[6]回答表!E279,"")),"")</f>
        <v/>
      </c>
      <c r="BK113" s="84"/>
      <c r="BL113" s="84"/>
      <c r="BM113" s="84"/>
      <c r="BN113" s="83" t="str">
        <f>IF([6]回答表!F17="簡易水道事業",IF([6]回答表!X45="●",[6]回答表!E214,IF([6]回答表!AA45="●",[6]回答表!E280,"")),"")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IF([6]回答表!F17="簡易水道事業",IF([6]回答表!X45="●",[6]回答表!Y186,IF([6]回答表!AA45="●",[6]回答表!Y252,"")),"")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IF([6]回答表!F17="簡易水道事業",IF([6]回答表!AA45="●","●",""),"")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IF([6]回答表!F17="簡易水道事業",IF([6]回答表!X45="●",[6]回答表!Y187,IF([6]回答表!AA45="●",[6]回答表!Y253,"")),"")</f>
        <v/>
      </c>
      <c r="V122" s="120"/>
      <c r="W122" s="120"/>
      <c r="X122" s="120"/>
      <c r="Y122" s="120"/>
      <c r="Z122" s="120"/>
      <c r="AA122" s="120"/>
      <c r="AB122" s="120"/>
      <c r="AC122" s="120"/>
      <c r="AD122" s="120"/>
      <c r="AE122" s="120"/>
      <c r="AF122" s="120"/>
      <c r="AG122" s="120"/>
      <c r="AH122" s="120"/>
      <c r="AI122" s="120"/>
      <c r="AJ122" s="121"/>
      <c r="AK122" s="18"/>
      <c r="AL122" s="18"/>
      <c r="AM122" s="228" t="str">
        <f>IF([6]回答表!F17="簡易水道事業",IF([6]回答表!X45="●",[6]回答表!Y189,IF([6]回答表!AA45="●",[6]回答表!Y255,"")),"")</f>
        <v/>
      </c>
      <c r="AN122" s="228"/>
      <c r="AO122" s="228"/>
      <c r="AP122" s="228"/>
      <c r="AQ122" s="228"/>
      <c r="AR122" s="228"/>
      <c r="AS122" s="228" t="str">
        <f>IF([6]回答表!F17="簡易水道事業",IF([6]回答表!X45="●",[6]回答表!Y190,IF([6]回答表!AA45="●",[6]回答表!Y256,"")),"")</f>
        <v/>
      </c>
      <c r="AT122" s="228"/>
      <c r="AU122" s="228"/>
      <c r="AV122" s="228"/>
      <c r="AW122" s="228"/>
      <c r="AX122" s="228"/>
      <c r="AY122" s="228" t="str">
        <f>IF([6]回答表!F17="簡易水道事業",IF([6]回答表!X45="●",[6]回答表!Y191,IF([6]回答表!AA45="●",[6]回答表!Y257,"")),"")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IF([6]回答表!F17="簡易水道事業",IF([6]回答表!AD45="●","●",""),"")</f>
        <v/>
      </c>
      <c r="O127" s="99"/>
      <c r="P127" s="99"/>
      <c r="Q127" s="100"/>
      <c r="R127" s="38"/>
      <c r="S127" s="38"/>
      <c r="T127" s="38"/>
      <c r="U127" s="107" t="str">
        <f>IF([6]回答表!F17="簡易水道事業",IF([6]回答表!AD45="●",[6]回答表!B289,""),"")</f>
        <v/>
      </c>
      <c r="V127" s="108"/>
      <c r="W127" s="108"/>
      <c r="X127" s="108"/>
      <c r="Y127" s="108"/>
      <c r="Z127" s="108"/>
      <c r="AA127" s="108"/>
      <c r="AB127" s="108"/>
      <c r="AC127" s="108"/>
      <c r="AD127" s="108"/>
      <c r="AE127" s="108"/>
      <c r="AF127" s="108"/>
      <c r="AG127" s="108"/>
      <c r="AH127" s="108"/>
      <c r="AI127" s="108"/>
      <c r="AJ127" s="109"/>
      <c r="AK127" s="55"/>
      <c r="AL127" s="55"/>
      <c r="AM127" s="107" t="str">
        <f>IF([6]回答表!F17="簡易水道事業",IF([6]回答表!AD45="●",[6]回答表!B295,""),"")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IF([6]回答表!F17="下水道事業",IF([6]回答表!X45="●","●",""),"")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IF([6]回答表!F17="下水道事業",IF([6]回答表!X45="●",[6]回答表!B158,IF([6]回答表!AA45="●",[6]回答表!B223,"")),"")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IF([6]回答表!F17="下水道事業",IF([6]回答表!X45="●",[6]回答表!B212,IF([6]回答表!AA45="●",[6]回答表!B278,"")),"")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IF([6]回答表!F17="下水道事業",IF([6]回答表!X45="●",[6]回答表!Y193,IF([6]回答表!AA45="●",[6]回答表!Y259,"")),"")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IF([6]回答表!F17="下水道事業",IF([6]回答表!X45="●",[6]回答表!E212,IF([6]回答表!AA45="●",[6]回答表!E278,"")),"")</f>
        <v/>
      </c>
      <c r="BG142" s="84"/>
      <c r="BH142" s="84"/>
      <c r="BI142" s="84"/>
      <c r="BJ142" s="83" t="str">
        <f>IF([6]回答表!F17="下水道事業",IF([6]回答表!X45="●",[6]回答表!E213,IF([6]回答表!AA45="●",[6]回答表!E279,"")),"")</f>
        <v/>
      </c>
      <c r="BK142" s="84"/>
      <c r="BL142" s="84"/>
      <c r="BM142" s="84"/>
      <c r="BN142" s="83" t="str">
        <f>IF([6]回答表!F17="下水道事業",IF([6]回答表!X45="●",[6]回答表!E214,IF([6]回答表!AA45="●",[6]回答表!E280,"")),"")</f>
        <v/>
      </c>
      <c r="BO142" s="84"/>
      <c r="BP142" s="84"/>
      <c r="BQ142" s="87"/>
      <c r="BR142" s="37"/>
      <c r="BX142" s="211" t="str">
        <f>IF([6]回答表!AQ20="下水道事業",IF([6]回答表!BI48="○",[6]回答表!AM161,IF([6]回答表!BL48="○",[6]回答表!AM226,"")),"")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IF([6]回答表!F17="下水道事業",IF([6]回答表!X45="●",[6]回答表!Y195,IF([6]回答表!AA45="●",[6]回答表!Y261,"")),"")</f>
        <v/>
      </c>
      <c r="V147" s="120"/>
      <c r="W147" s="120"/>
      <c r="X147" s="120"/>
      <c r="Y147" s="120"/>
      <c r="Z147" s="120"/>
      <c r="AA147" s="120"/>
      <c r="AB147" s="121"/>
      <c r="AC147" s="119" t="str">
        <f>IF([6]回答表!F17="下水道事業",IF([6]回答表!X45="●",[6]回答表!Y196,IF([6]回答表!AA45="●",[6]回答表!Y262,"")),"")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IF([6]回答表!F17="下水道事業",IF([6]回答表!X45="●",[6]回答表!Y198,IF([6]回答表!AA45="●",[6]回答表!Y264,"")),"")</f>
        <v/>
      </c>
      <c r="V153" s="120"/>
      <c r="W153" s="120"/>
      <c r="X153" s="120"/>
      <c r="Y153" s="120"/>
      <c r="Z153" s="120"/>
      <c r="AA153" s="120"/>
      <c r="AB153" s="121"/>
      <c r="AC153" s="119" t="str">
        <f>IF([6]回答表!F17="下水道事業",IF([6]回答表!X45="●",[6]回答表!Y199,IF([6]回答表!AA45="●",[6]回答表!Y265,"")),"")</f>
        <v/>
      </c>
      <c r="AD153" s="120"/>
      <c r="AE153" s="120"/>
      <c r="AF153" s="120"/>
      <c r="AG153" s="120"/>
      <c r="AH153" s="120"/>
      <c r="AI153" s="120"/>
      <c r="AJ153" s="121"/>
      <c r="AK153" s="119" t="str">
        <f>IF([6]回答表!F17="下水道事業",IF([6]回答表!X45="●",[6]回答表!Y200,IF([6]回答表!AA45="●",[6]回答表!Y266,"")),"")</f>
        <v/>
      </c>
      <c r="AL153" s="120"/>
      <c r="AM153" s="120"/>
      <c r="AN153" s="120"/>
      <c r="AO153" s="120"/>
      <c r="AP153" s="120"/>
      <c r="AQ153" s="120"/>
      <c r="AR153" s="121"/>
      <c r="AS153" s="119" t="str">
        <f>IF([6]回答表!F17="下水道事業",IF([6]回答表!X45="●",[6]回答表!Y201,IF([6]回答表!AA45="●",[6]回答表!Y267,"")),"")</f>
        <v/>
      </c>
      <c r="AT153" s="120"/>
      <c r="AU153" s="120"/>
      <c r="AV153" s="120"/>
      <c r="AW153" s="120"/>
      <c r="AX153" s="120"/>
      <c r="AY153" s="120"/>
      <c r="AZ153" s="121"/>
      <c r="BA153" s="119" t="str">
        <f>IF([6]回答表!F17="下水道事業",IF([6]回答表!X45="●",[6]回答表!Y202,IF([6]回答表!AA45="●",[6]回答表!Y268,"")),"")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IF([6]回答表!F17="下水道事業",IF([6]回答表!AA45="●","●",""),"")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IF([6]回答表!F17="下水道事業",IF([6]回答表!X45="●",[6]回答表!Y207,IF([6]回答表!AA45="●",[6]回答表!Y273,"")),"")</f>
        <v/>
      </c>
      <c r="V159" s="120"/>
      <c r="W159" s="120"/>
      <c r="X159" s="120"/>
      <c r="Y159" s="120"/>
      <c r="Z159" s="120"/>
      <c r="AA159" s="120"/>
      <c r="AB159" s="121"/>
      <c r="AC159" s="119" t="str">
        <f>IF([6]回答表!F17="下水道事業",IF([6]回答表!X45="●",[6]回答表!Y208,IF([6]回答表!AA45="●",[6]回答表!Y274,"")),"")</f>
        <v/>
      </c>
      <c r="AD159" s="120"/>
      <c r="AE159" s="120"/>
      <c r="AF159" s="120"/>
      <c r="AG159" s="120"/>
      <c r="AH159" s="120"/>
      <c r="AI159" s="120"/>
      <c r="AJ159" s="121"/>
      <c r="AK159" s="119" t="str">
        <f>IF([6]回答表!F17="下水道事業",IF([6]回答表!X45="●",[6]回答表!Y209,IF([6]回答表!AA45="●",[6]回答表!Y275,"")),"")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IF([6]回答表!F17="下水道事業",IF([6]回答表!AD45="●","●",""),"")</f>
        <v/>
      </c>
      <c r="O164" s="99"/>
      <c r="P164" s="99"/>
      <c r="Q164" s="100"/>
      <c r="R164" s="38"/>
      <c r="S164" s="38"/>
      <c r="T164" s="38"/>
      <c r="U164" s="107" t="str">
        <f>IF([6]回答表!F17="下水道事業",IF([6]回答表!AD45="●",[6]回答表!B289,""),"")</f>
        <v/>
      </c>
      <c r="V164" s="108"/>
      <c r="W164" s="108"/>
      <c r="X164" s="108"/>
      <c r="Y164" s="108"/>
      <c r="Z164" s="108"/>
      <c r="AA164" s="108"/>
      <c r="AB164" s="108"/>
      <c r="AC164" s="108"/>
      <c r="AD164" s="108"/>
      <c r="AE164" s="108"/>
      <c r="AF164" s="108"/>
      <c r="AG164" s="108"/>
      <c r="AH164" s="108"/>
      <c r="AI164" s="108"/>
      <c r="AJ164" s="109"/>
      <c r="AK164" s="55"/>
      <c r="AL164" s="55"/>
      <c r="AM164" s="107" t="str">
        <f>IF([6]回答表!F17="下水道事業",IF([6]回答表!AD45="●",[6]回答表!B295,""),"")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IF([6]回答表!BD17="●",IF([6]回答表!X45="●","●",""),"")</f>
        <v/>
      </c>
      <c r="O176" s="99"/>
      <c r="P176" s="99"/>
      <c r="Q176" s="100"/>
      <c r="R176" s="38"/>
      <c r="S176" s="38"/>
      <c r="T176" s="38"/>
      <c r="U176" s="107" t="str">
        <f>IF([6]回答表!BD17="●",IF([6]回答表!X45="●",[6]回答表!B158,IF([6]回答表!AA45="●",[6]回答表!B223,"")),"")</f>
        <v/>
      </c>
      <c r="V176" s="108"/>
      <c r="W176" s="108"/>
      <c r="X176" s="108"/>
      <c r="Y176" s="108"/>
      <c r="Z176" s="108"/>
      <c r="AA176" s="108"/>
      <c r="AB176" s="108"/>
      <c r="AC176" s="108"/>
      <c r="AD176" s="108"/>
      <c r="AE176" s="108"/>
      <c r="AF176" s="108"/>
      <c r="AG176" s="108"/>
      <c r="AH176" s="108"/>
      <c r="AI176" s="108"/>
      <c r="AJ176" s="109"/>
      <c r="AK176" s="49"/>
      <c r="AL176" s="49"/>
      <c r="AM176" s="116" t="str">
        <f>IF([6]回答表!BD17="●",IF([6]回答表!X45="●",[6]回答表!B212,IF([6]回答表!AA45="●",[6]回答表!B278,"")),"")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IF([6]回答表!BD17="●",IF([6]回答表!X45="●",[6]回答表!E212,IF([6]回答表!AA45="●",[6]回答表!E278,"")),"")</f>
        <v/>
      </c>
      <c r="AN179" s="84"/>
      <c r="AO179" s="84"/>
      <c r="AP179" s="84"/>
      <c r="AQ179" s="83" t="str">
        <f>IF([6]回答表!BD17="●",IF([6]回答表!X45="●",[6]回答表!E213,IF([6]回答表!AA45="●",[6]回答表!E279,"")),"")</f>
        <v/>
      </c>
      <c r="AR179" s="84"/>
      <c r="AS179" s="84"/>
      <c r="AT179" s="84"/>
      <c r="AU179" s="83" t="str">
        <f>IF([6]回答表!BD17="●",IF([6]回答表!X45="●",[6]回答表!E214,IF([6]回答表!AA45="●",[6]回答表!E280,"")),"")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IF([6]回答表!BD17="●",IF([6]回答表!AA45="●","●",""),"")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IF([6]回答表!BD17="●",IF([6]回答表!AD45="●","●",""),"")</f>
        <v/>
      </c>
      <c r="O188" s="99"/>
      <c r="P188" s="99"/>
      <c r="Q188" s="100"/>
      <c r="R188" s="38"/>
      <c r="S188" s="38"/>
      <c r="T188" s="38"/>
      <c r="U188" s="107" t="str">
        <f>IF([6]回答表!BD17="●",IF([6]回答表!AD45="●",[6]回答表!B289,""),"")</f>
        <v/>
      </c>
      <c r="V188" s="108"/>
      <c r="W188" s="108"/>
      <c r="X188" s="108"/>
      <c r="Y188" s="108"/>
      <c r="Z188" s="108"/>
      <c r="AA188" s="108"/>
      <c r="AB188" s="108"/>
      <c r="AC188" s="108"/>
      <c r="AD188" s="108"/>
      <c r="AE188" s="108"/>
      <c r="AF188" s="108"/>
      <c r="AG188" s="108"/>
      <c r="AH188" s="108"/>
      <c r="AI188" s="108"/>
      <c r="AJ188" s="109"/>
      <c r="AK188" s="55"/>
      <c r="AL188" s="55"/>
      <c r="AM188" s="107" t="str">
        <f>IF([6]回答表!BD17="●",IF([6]回答表!AD45="●",[6]回答表!B295,""),"")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IF([6]回答表!X46="●","●","")</f>
        <v/>
      </c>
      <c r="O200" s="99"/>
      <c r="P200" s="99"/>
      <c r="Q200" s="100"/>
      <c r="R200" s="38"/>
      <c r="S200" s="38"/>
      <c r="T200" s="38"/>
      <c r="U200" s="107" t="str">
        <f>IF([6]回答表!X46="●",[6]回答表!B307,IF([6]回答表!AA46="●",[6]回答表!B324,""))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IF([6]回答表!X46="●",[6]回答表!U313,IF([6]回答表!AA46="●",[6]回答表!U330,""))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IF([6]回答表!X46="●",[6]回答表!G313,IF([6]回答表!AA46="●",[6]回答表!G330,""))</f>
        <v/>
      </c>
      <c r="AN203" s="120"/>
      <c r="AO203" s="120"/>
      <c r="AP203" s="120"/>
      <c r="AQ203" s="120"/>
      <c r="AR203" s="120"/>
      <c r="AS203" s="120"/>
      <c r="AT203" s="121"/>
      <c r="AU203" s="119" t="str">
        <f>IF([6]回答表!X46="●",[6]回答表!G314,IF([6]回答表!AA46="●",[6]回答表!G331,""))</f>
        <v/>
      </c>
      <c r="AV203" s="120"/>
      <c r="AW203" s="120"/>
      <c r="AX203" s="120"/>
      <c r="AY203" s="120"/>
      <c r="AZ203" s="120"/>
      <c r="BA203" s="120"/>
      <c r="BB203" s="121"/>
      <c r="BC203" s="39"/>
      <c r="BD203" s="34"/>
      <c r="BE203" s="34"/>
      <c r="BF203" s="83" t="str">
        <f>IF([6]回答表!X46="●",[6]回答表!X313,IF([6]回答表!AA46="●",[6]回答表!X330,""))</f>
        <v/>
      </c>
      <c r="BG203" s="84"/>
      <c r="BH203" s="84"/>
      <c r="BI203" s="84"/>
      <c r="BJ203" s="83" t="str">
        <f>IF([6]回答表!X46="●",[6]回答表!X314,IF([6]回答表!AA46="●",[6]回答表!X331,""))</f>
        <v/>
      </c>
      <c r="BK203" s="84"/>
      <c r="BL203" s="84"/>
      <c r="BM203" s="87"/>
      <c r="BN203" s="83" t="str">
        <f>IF([6]回答表!X46="●",[6]回答表!X315,IF([6]回答表!AA46="●",[6]回答表!X332,""))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IF([6]回答表!AA46="●","●","")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IF([6]回答表!AD46="●","●","")</f>
        <v/>
      </c>
      <c r="O212" s="99"/>
      <c r="P212" s="99"/>
      <c r="Q212" s="100"/>
      <c r="R212" s="38"/>
      <c r="S212" s="38"/>
      <c r="T212" s="38"/>
      <c r="U212" s="107" t="str">
        <f>IF([6]回答表!AD46="●",[6]回答表!B337,"")</f>
        <v/>
      </c>
      <c r="V212" s="108"/>
      <c r="W212" s="108"/>
      <c r="X212" s="108"/>
      <c r="Y212" s="108"/>
      <c r="Z212" s="108"/>
      <c r="AA212" s="108"/>
      <c r="AB212" s="108"/>
      <c r="AC212" s="108"/>
      <c r="AD212" s="108"/>
      <c r="AE212" s="108"/>
      <c r="AF212" s="108"/>
      <c r="AG212" s="108"/>
      <c r="AH212" s="108"/>
      <c r="AI212" s="108"/>
      <c r="AJ212" s="109"/>
      <c r="AK212" s="62"/>
      <c r="AL212" s="62"/>
      <c r="AM212" s="107" t="str">
        <f>IF([6]回答表!AD46="●",[6]回答表!B343,"")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IF([6]回答表!X47="●","●","")</f>
        <v/>
      </c>
      <c r="O224" s="99"/>
      <c r="P224" s="99"/>
      <c r="Q224" s="100"/>
      <c r="R224" s="38"/>
      <c r="S224" s="38"/>
      <c r="T224" s="38"/>
      <c r="U224" s="107" t="str">
        <f>IF([6]回答表!X47="●",[6]回答表!B356,IF([6]回答表!AA47="●",[6]回答表!B379,""))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IF([6]回答表!X47="●",[6]回答表!B362,"")</f>
        <v/>
      </c>
      <c r="AO224" s="182"/>
      <c r="AP224" s="182"/>
      <c r="AQ224" s="182"/>
      <c r="AR224" s="182"/>
      <c r="AS224" s="182"/>
      <c r="AT224" s="182"/>
      <c r="AU224" s="182"/>
      <c r="AV224" s="182"/>
      <c r="AW224" s="182"/>
      <c r="AX224" s="182"/>
      <c r="AY224" s="182"/>
      <c r="AZ224" s="182"/>
      <c r="BA224" s="182"/>
      <c r="BB224" s="183"/>
      <c r="BC224" s="39"/>
      <c r="BD224" s="34"/>
      <c r="BE224" s="34"/>
      <c r="BF224" s="116" t="str">
        <f>IF([6]回答表!X47="●",[6]回答表!B368,IF([6]回答表!AA47="●",[6]回答表!B385,""))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IF([6]回答表!X47="●",[6]回答表!E368,IF([6]回答表!AA47="●",[6]回答表!E385,""))</f>
        <v/>
      </c>
      <c r="BG227" s="84"/>
      <c r="BH227" s="84"/>
      <c r="BI227" s="84"/>
      <c r="BJ227" s="83" t="str">
        <f>IF([6]回答表!X47="●",[6]回答表!E369,IF([6]回答表!AA47="●",[6]回答表!E386,""))</f>
        <v/>
      </c>
      <c r="BK227" s="84"/>
      <c r="BL227" s="84"/>
      <c r="BM227" s="87"/>
      <c r="BN227" s="83" t="str">
        <f>IF([6]回答表!X47="●",[6]回答表!E370,IF([6]回答表!AA47="●",[6]回答表!E387,""))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IF([6]回答表!AA47="●","●","")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IF([6]回答表!AD47="●","●","")</f>
        <v/>
      </c>
      <c r="O236" s="99"/>
      <c r="P236" s="99"/>
      <c r="Q236" s="100"/>
      <c r="R236" s="38"/>
      <c r="S236" s="38"/>
      <c r="T236" s="38"/>
      <c r="U236" s="107" t="str">
        <f>IF([6]回答表!AD47="●",[6]回答表!B392,"")</f>
        <v/>
      </c>
      <c r="V236" s="108"/>
      <c r="W236" s="108"/>
      <c r="X236" s="108"/>
      <c r="Y236" s="108"/>
      <c r="Z236" s="108"/>
      <c r="AA236" s="108"/>
      <c r="AB236" s="108"/>
      <c r="AC236" s="108"/>
      <c r="AD236" s="108"/>
      <c r="AE236" s="108"/>
      <c r="AF236" s="108"/>
      <c r="AG236" s="108"/>
      <c r="AH236" s="108"/>
      <c r="AI236" s="108"/>
      <c r="AJ236" s="109"/>
      <c r="AK236" s="62"/>
      <c r="AL236" s="62"/>
      <c r="AM236" s="107" t="str">
        <f>IF([6]回答表!AD47="●",[6]回答表!B398,"")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IF([6]回答表!X48="●","●","")</f>
        <v/>
      </c>
      <c r="O248" s="99"/>
      <c r="P248" s="99"/>
      <c r="Q248" s="100"/>
      <c r="R248" s="38"/>
      <c r="S248" s="38"/>
      <c r="T248" s="38"/>
      <c r="U248" s="107" t="str">
        <f>IF([6]回答表!X48="●",[6]回答表!B411,IF([6]回答表!AA48="●",[6]回答表!B425,""))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IF([6]回答表!X48="●",[6]回答表!BC418,IF([6]回答表!AA48="●",[6]回答表!BC432,""))</f>
        <v/>
      </c>
      <c r="AR248" s="151"/>
      <c r="AS248" s="151"/>
      <c r="AT248" s="151"/>
      <c r="AU248" s="173" t="s">
        <v>73</v>
      </c>
      <c r="AV248" s="174"/>
      <c r="AW248" s="174"/>
      <c r="AX248" s="175"/>
      <c r="AY248" s="151" t="str">
        <f>IF([6]回答表!X48="●",[6]回答表!BC423,IF([6]回答表!AA48="●",[6]回答表!BC437,""))</f>
        <v/>
      </c>
      <c r="AZ248" s="151"/>
      <c r="BA248" s="151"/>
      <c r="BB248" s="151"/>
      <c r="BC248" s="39"/>
      <c r="BD248" s="34"/>
      <c r="BE248" s="34"/>
      <c r="BF248" s="116" t="str">
        <f>IF([6]回答表!X48="●",[6]回答表!S417,IF([6]回答表!AA48="●",[6]回答表!S431,""))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IF([6]回答表!X48="●",[6]回答表!BC419,IF([6]回答表!AA48="●",[6]回答表!BC433,""))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IF([6]回答表!X48="●",[6]回答表!V417,IF([6]回答表!AA48="●",[6]回答表!V431,""))</f>
        <v/>
      </c>
      <c r="BG251" s="84"/>
      <c r="BH251" s="84"/>
      <c r="BI251" s="84"/>
      <c r="BJ251" s="83" t="str">
        <f>IF([6]回答表!X48="●",[6]回答表!V418,IF([6]回答表!AA48="●",[6]回答表!V432,""))</f>
        <v/>
      </c>
      <c r="BK251" s="84"/>
      <c r="BL251" s="84"/>
      <c r="BM251" s="87"/>
      <c r="BN251" s="83" t="str">
        <f>IF([6]回答表!X48="●",[6]回答表!V419,IF([6]回答表!AA48="●",[6]回答表!V433,""))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IF([6]回答表!X48="●",[6]回答表!BC420,IF([6]回答表!AA48="●",[6]回答表!BC434,""))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IF([6]回答表!X48="●",[6]回答表!BC424,IF([6]回答表!AA48="●",[6]回答表!BC438,""))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IF([6]回答表!AA48="●","●","")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IF([6]回答表!X48="●",[6]回答表!BC421,IF([6]回答表!AA48="●",[6]回答表!BC435,""))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IF([6]回答表!X48="●",[6]回答表!BC422,IF([6]回答表!AA48="●",[6]回答表!BC436,""))</f>
        <v/>
      </c>
      <c r="AR256" s="151"/>
      <c r="AS256" s="151"/>
      <c r="AT256" s="151"/>
      <c r="AU256" s="152" t="s">
        <v>79</v>
      </c>
      <c r="AV256" s="153"/>
      <c r="AW256" s="153"/>
      <c r="AX256" s="154"/>
      <c r="AY256" s="158" t="str">
        <f>IF([6]回答表!X48="●",[6]回答表!BC425,IF([6]回答表!AA48="●",[6]回答表!BC439,""))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IF([6]回答表!AD48="●","●","")</f>
        <v/>
      </c>
      <c r="O260" s="99"/>
      <c r="P260" s="99"/>
      <c r="Q260" s="100"/>
      <c r="R260" s="38"/>
      <c r="S260" s="38"/>
      <c r="T260" s="38"/>
      <c r="U260" s="107" t="str">
        <f>IF([6]回答表!AD48="●",[6]回答表!B439,"")</f>
        <v/>
      </c>
      <c r="V260" s="108"/>
      <c r="W260" s="108"/>
      <c r="X260" s="108"/>
      <c r="Y260" s="108"/>
      <c r="Z260" s="108"/>
      <c r="AA260" s="108"/>
      <c r="AB260" s="108"/>
      <c r="AC260" s="108"/>
      <c r="AD260" s="108"/>
      <c r="AE260" s="108"/>
      <c r="AF260" s="108"/>
      <c r="AG260" s="108"/>
      <c r="AH260" s="108"/>
      <c r="AI260" s="108"/>
      <c r="AJ260" s="109"/>
      <c r="AK260" s="55"/>
      <c r="AL260" s="55"/>
      <c r="AM260" s="107" t="str">
        <f>IF([6]回答表!AD48="●",[6]回答表!B445,"")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IF([6]回答表!X49="●","●","")</f>
        <v/>
      </c>
      <c r="O271" s="99"/>
      <c r="P271" s="99"/>
      <c r="Q271" s="100"/>
      <c r="R271" s="38"/>
      <c r="S271" s="38"/>
      <c r="T271" s="38"/>
      <c r="U271" s="107" t="str">
        <f>IF([6]回答表!X49="●",[6]回答表!B458,IF([6]回答表!AA49="●",[6]回答表!B475,""))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IF([6]回答表!X49="●",[6]回答表!B468,IF([6]回答表!AA49="●",[6]回答表!B485,""))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IF([6]回答表!X49="●",[6]回答表!G464,IF([6]回答表!AA49="●",[6]回答表!G481,""))</f>
        <v/>
      </c>
      <c r="AN273" s="120"/>
      <c r="AO273" s="120"/>
      <c r="AP273" s="120"/>
      <c r="AQ273" s="120"/>
      <c r="AR273" s="120"/>
      <c r="AS273" s="120"/>
      <c r="AT273" s="121"/>
      <c r="AU273" s="119" t="str">
        <f>IF([6]回答表!X49="●",[6]回答表!G465,IF([6]回答表!AA49="●",[6]回答表!G482,""))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IF([6]回答表!X49="●",[6]回答表!E468,IF([6]回答表!AA49="●",[6]回答表!E485,""))</f>
        <v/>
      </c>
      <c r="BG274" s="84"/>
      <c r="BH274" s="84"/>
      <c r="BI274" s="84"/>
      <c r="BJ274" s="83" t="str">
        <f>IF([6]回答表!X49="●",[6]回答表!E469,IF([6]回答表!AA49="●",[6]回答表!E486,""))</f>
        <v/>
      </c>
      <c r="BK274" s="84"/>
      <c r="BL274" s="84"/>
      <c r="BM274" s="87"/>
      <c r="BN274" s="83" t="str">
        <f>IF([6]回答表!X49="●",[6]回答表!E470,IF([6]回答表!AA49="●",[6]回答表!E487,""))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IF([6]回答表!AA49="●","●","")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IF([6]回答表!AD49="●","●","")</f>
        <v/>
      </c>
      <c r="O283" s="99"/>
      <c r="P283" s="99"/>
      <c r="Q283" s="100"/>
      <c r="R283" s="38"/>
      <c r="S283" s="38"/>
      <c r="T283" s="38"/>
      <c r="U283" s="107" t="str">
        <f>IF([6]回答表!AD49="●",[6]回答表!B492,"")</f>
        <v/>
      </c>
      <c r="V283" s="108"/>
      <c r="W283" s="108"/>
      <c r="X283" s="108"/>
      <c r="Y283" s="108"/>
      <c r="Z283" s="108"/>
      <c r="AA283" s="108"/>
      <c r="AB283" s="108"/>
      <c r="AC283" s="108"/>
      <c r="AD283" s="108"/>
      <c r="AE283" s="108"/>
      <c r="AF283" s="108"/>
      <c r="AG283" s="108"/>
      <c r="AH283" s="108"/>
      <c r="AI283" s="108"/>
      <c r="AJ283" s="109"/>
      <c r="AK283" s="49"/>
      <c r="AL283" s="49"/>
      <c r="AM283" s="107" t="str">
        <f>IF([6]回答表!AD49="●",[6]回答表!B498,"")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IF([6]回答表!R50="●",[6]回答表!B511,"")</f>
        <v xml:space="preserve">現行の経営体制・手法で、健全な事業運営ができている。ただし、民間事業の経営手法やコスト比較など調査・研究を行い、事務及び事業の効率化と簡素化に努めながら事業を実施する。
また、指定管理制度の導入や施設及び事業の譲渡、一部業務の民間委託も検討していく。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BFBE8-EB52-49AF-8C38-1BF2E8AB704A}">
  <sheetPr>
    <pageSetUpPr fitToPage="1"/>
  </sheetPr>
  <dimension ref="A1:CN315"/>
  <sheetViews>
    <sheetView showZeros="0" view="pageBreakPreview" zoomScale="60" zoomScaleNormal="55" workbookViewId="0">
      <selection activeCell="U8" sqref="U8:AN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IF(COUNTIF([9]回答表!K15,"*")&gt;0,[9]回答表!K15,"")</f>
        <v>横手市</v>
      </c>
      <c r="D11" s="299"/>
      <c r="E11" s="299"/>
      <c r="F11" s="299"/>
      <c r="G11" s="299"/>
      <c r="H11" s="299"/>
      <c r="I11" s="299"/>
      <c r="J11" s="299"/>
      <c r="K11" s="299"/>
      <c r="L11" s="299"/>
      <c r="M11" s="299"/>
      <c r="N11" s="299"/>
      <c r="O11" s="299"/>
      <c r="P11" s="299"/>
      <c r="Q11" s="299"/>
      <c r="R11" s="299"/>
      <c r="S11" s="299"/>
      <c r="T11" s="299"/>
      <c r="U11" s="306" t="str">
        <f>IF(COUNTIF([9]回答表!F17,"*")&gt;0,[9]回答表!F17,"")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IF(COUNTIF([9]回答表!W17,"*")&gt;0,[9]回答表!W17,"")</f>
        <v>老人短期入所施設</v>
      </c>
      <c r="AP11" s="301"/>
      <c r="AQ11" s="301"/>
      <c r="AR11" s="301"/>
      <c r="AS11" s="301"/>
      <c r="AT11" s="301"/>
      <c r="AU11" s="301"/>
      <c r="AV11" s="301"/>
      <c r="AW11" s="301"/>
      <c r="AX11" s="301"/>
      <c r="AY11" s="301"/>
      <c r="AZ11" s="301"/>
      <c r="BA11" s="301"/>
      <c r="BB11" s="301"/>
      <c r="BC11" s="301"/>
      <c r="BD11" s="301"/>
      <c r="BE11" s="301"/>
      <c r="BF11" s="302"/>
      <c r="BG11" s="305" t="str">
        <f>IF(COUNTIF([9]回答表!F19,"*")&gt;0,[9]回答表!F19,"")</f>
        <v>市営介護サービス事業特別会計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IF([9]回答表!R43="●","●","")</f>
        <v/>
      </c>
      <c r="E24" s="123"/>
      <c r="F24" s="123"/>
      <c r="G24" s="123"/>
      <c r="H24" s="123"/>
      <c r="I24" s="123"/>
      <c r="J24" s="124"/>
      <c r="K24" s="122" t="str">
        <f>IF([9]回答表!R44="●","●","")</f>
        <v/>
      </c>
      <c r="L24" s="123"/>
      <c r="M24" s="123"/>
      <c r="N24" s="123"/>
      <c r="O24" s="123"/>
      <c r="P24" s="123"/>
      <c r="Q24" s="124"/>
      <c r="R24" s="122" t="str">
        <f>IF([9]回答表!R45="●","●","")</f>
        <v/>
      </c>
      <c r="S24" s="123"/>
      <c r="T24" s="123"/>
      <c r="U24" s="123"/>
      <c r="V24" s="123"/>
      <c r="W24" s="123"/>
      <c r="X24" s="124"/>
      <c r="Y24" s="122" t="str">
        <f>IF([9]回答表!R46="●","●","")</f>
        <v/>
      </c>
      <c r="Z24" s="123"/>
      <c r="AA24" s="123"/>
      <c r="AB24" s="123"/>
      <c r="AC24" s="123"/>
      <c r="AD24" s="123"/>
      <c r="AE24" s="124"/>
      <c r="AF24" s="122" t="str">
        <f>IF([9]回答表!R47="●","●","")</f>
        <v/>
      </c>
      <c r="AG24" s="123"/>
      <c r="AH24" s="123"/>
      <c r="AI24" s="123"/>
      <c r="AJ24" s="123"/>
      <c r="AK24" s="123"/>
      <c r="AL24" s="124"/>
      <c r="AM24" s="122" t="str">
        <f>IF([9]回答表!R48="●","●","")</f>
        <v/>
      </c>
      <c r="AN24" s="123"/>
      <c r="AO24" s="123"/>
      <c r="AP24" s="123"/>
      <c r="AQ24" s="123"/>
      <c r="AR24" s="123"/>
      <c r="AS24" s="124"/>
      <c r="AT24" s="122" t="str">
        <f>IF([9]回答表!R49="●","●","")</f>
        <v/>
      </c>
      <c r="AU24" s="123"/>
      <c r="AV24" s="123"/>
      <c r="AW24" s="123"/>
      <c r="AX24" s="123"/>
      <c r="AY24" s="123"/>
      <c r="AZ24" s="124"/>
      <c r="BA24" s="18"/>
      <c r="BB24" s="119" t="str">
        <f>IF([9]回答表!R50="●","●","")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IF([9]回答表!X43="●","●","")</f>
        <v/>
      </c>
      <c r="O36" s="99"/>
      <c r="P36" s="99"/>
      <c r="Q36" s="100"/>
      <c r="R36" s="38"/>
      <c r="S36" s="38"/>
      <c r="T36" s="38"/>
      <c r="U36" s="107" t="str">
        <f>IF([9]回答表!X43="●",[9]回答表!B59,IF([9]回答表!AA43="●",[9]回答表!B79,""))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IF([9]回答表!X43="●",[9]回答表!S65,IF([9]回答表!AA43="●",[9]回答表!S85,""))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IF([9]回答表!X43="●",[9]回答表!G65,IF([9]回答表!AA43="●",[9]回答表!G85,""))</f>
        <v/>
      </c>
      <c r="AN38" s="120"/>
      <c r="AO38" s="120"/>
      <c r="AP38" s="120"/>
      <c r="AQ38" s="120"/>
      <c r="AR38" s="120"/>
      <c r="AS38" s="120"/>
      <c r="AT38" s="121"/>
      <c r="AU38" s="119" t="str">
        <f>IF([9]回答表!X43="●",[9]回答表!G66,IF([9]回答表!AA43="●",[9]回答表!G86,""))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IF([9]回答表!X43="●",[9]回答表!V65,IF([9]回答表!AA43="●",[9]回答表!V85,""))</f>
        <v/>
      </c>
      <c r="BG39" s="249"/>
      <c r="BH39" s="249"/>
      <c r="BI39" s="250"/>
      <c r="BJ39" s="83" t="str">
        <f>IF([9]回答表!X43="●",[9]回答表!V66,IF([9]回答表!AA43="●",[9]回答表!V86,""))</f>
        <v/>
      </c>
      <c r="BK39" s="249"/>
      <c r="BL39" s="249"/>
      <c r="BM39" s="250"/>
      <c r="BN39" s="83" t="str">
        <f>IF([9]回答表!X43="●",[9]回答表!V67,IF([9]回答表!AA43="●",[9]回答表!V87,""))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IF([9]回答表!X43="●",[9]回答表!O71,IF([9]回答表!AA43="●",[9]回答表!O91,""))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IF([9]回答表!X43="●",[9]回答表!O72,IF([9]回答表!AA43="●",[9]回答表!O92,""))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IF([9]回答表!AA43="●","●","")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IF([9]回答表!X43="●",[9]回答表!O73,IF([9]回答表!AA43="●",[9]回答表!O93,""))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IF([9]回答表!X43="●",[9]回答表!O74,IF([9]回答表!AA43="●",[9]回答表!O94,""))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IF([9]回答表!X43="●",[9]回答表!AG71,IF([9]回答表!AA43="●",[9]回答表!AG91,""))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IF([9]回答表!X43="●",[9]回答表!AG72,IF([9]回答表!AA43="●",[9]回答表!AG92,""))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IF([9]回答表!AD43="●","●","")</f>
        <v/>
      </c>
      <c r="O51" s="99"/>
      <c r="P51" s="99"/>
      <c r="Q51" s="100"/>
      <c r="R51" s="38"/>
      <c r="S51" s="38"/>
      <c r="T51" s="38"/>
      <c r="U51" s="107" t="str">
        <f>IF([9]回答表!AD43="●",[9]回答表!B99,"")</f>
        <v/>
      </c>
      <c r="V51" s="108"/>
      <c r="W51" s="108"/>
      <c r="X51" s="108"/>
      <c r="Y51" s="108"/>
      <c r="Z51" s="108"/>
      <c r="AA51" s="108"/>
      <c r="AB51" s="108"/>
      <c r="AC51" s="108"/>
      <c r="AD51" s="108"/>
      <c r="AE51" s="108"/>
      <c r="AF51" s="108"/>
      <c r="AG51" s="108"/>
      <c r="AH51" s="108"/>
      <c r="AI51" s="108"/>
      <c r="AJ51" s="109"/>
      <c r="AK51" s="55"/>
      <c r="AL51" s="55"/>
      <c r="AM51" s="107" t="str">
        <f>IF([9]回答表!AD43="●",[9]回答表!B104,"")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IF([9]回答表!X44="●","●","")</f>
        <v/>
      </c>
      <c r="O62" s="99"/>
      <c r="P62" s="99"/>
      <c r="Q62" s="100"/>
      <c r="R62" s="38"/>
      <c r="S62" s="38"/>
      <c r="T62" s="38"/>
      <c r="U62" s="107" t="str">
        <f>IF([9]回答表!X44="●",[9]回答表!B115,IF([9]回答表!AA44="●",[9]回答表!B127,""))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IF([9]回答表!X44="●",[9]回答表!S121,IF([9]回答表!AA44="●",[9]回答表!S133,""))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IF([9]回答表!X44="●",[9]回答表!J121,IF([9]回答表!AA44="●",[9]回答表!J133,""))</f>
        <v/>
      </c>
      <c r="AN65" s="120"/>
      <c r="AO65" s="120"/>
      <c r="AP65" s="120"/>
      <c r="AQ65" s="120"/>
      <c r="AR65" s="120"/>
      <c r="AS65" s="120"/>
      <c r="AT65" s="121"/>
      <c r="AU65" s="119" t="str">
        <f>IF([9]回答表!X44="●",[9]回答表!J122,IF([9]回答表!AA44="●",[9]回答表!J134,""))</f>
        <v/>
      </c>
      <c r="AV65" s="120"/>
      <c r="AW65" s="120"/>
      <c r="AX65" s="120"/>
      <c r="AY65" s="120"/>
      <c r="AZ65" s="120"/>
      <c r="BA65" s="120"/>
      <c r="BB65" s="121"/>
      <c r="BC65" s="39"/>
      <c r="BD65" s="34"/>
      <c r="BE65" s="34"/>
      <c r="BF65" s="83" t="str">
        <f>IF([9]回答表!X44="●",[9]回答表!V121,IF([9]回答表!AA44="●",[9]回答表!V133,""))</f>
        <v/>
      </c>
      <c r="BG65" s="84"/>
      <c r="BH65" s="84"/>
      <c r="BI65" s="84"/>
      <c r="BJ65" s="83" t="str">
        <f>IF([9]回答表!X44="●",[9]回答表!V122,IF([9]回答表!AA44="●",[9]回答表!V134,""))</f>
        <v/>
      </c>
      <c r="BK65" s="84"/>
      <c r="BL65" s="84"/>
      <c r="BM65" s="84"/>
      <c r="BN65" s="83" t="str">
        <f>IF([9]回答表!X44="●",[9]回答表!V123,IF([9]回答表!AA44="●",[9]回答表!V135,""))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IF([9]回答表!AA44="●","●","")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IF([9]回答表!AD44="●","●","")</f>
        <v/>
      </c>
      <c r="O74" s="99"/>
      <c r="P74" s="99"/>
      <c r="Q74" s="100"/>
      <c r="R74" s="38"/>
      <c r="S74" s="38"/>
      <c r="T74" s="38"/>
      <c r="U74" s="107" t="str">
        <f>IF([9]回答表!AD44="●",[9]回答表!B140,"")</f>
        <v/>
      </c>
      <c r="V74" s="108"/>
      <c r="W74" s="108"/>
      <c r="X74" s="108"/>
      <c r="Y74" s="108"/>
      <c r="Z74" s="108"/>
      <c r="AA74" s="108"/>
      <c r="AB74" s="108"/>
      <c r="AC74" s="108"/>
      <c r="AD74" s="108"/>
      <c r="AE74" s="108"/>
      <c r="AF74" s="108"/>
      <c r="AG74" s="108"/>
      <c r="AH74" s="108"/>
      <c r="AI74" s="108"/>
      <c r="AJ74" s="109"/>
      <c r="AK74" s="55"/>
      <c r="AL74" s="55"/>
      <c r="AM74" s="107" t="str">
        <f>IF([9]回答表!AD44="●",[9]回答表!B146,"")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IF([9]回答表!F17="水道事業",IF([9]回答表!X45="●","●",""),"")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IF([9]回答表!F17="水道事業",IF([9]回答表!X45="●",[9]回答表!B158,IF([9]回答表!AA45="●",[9]回答表!B223,"")),"")</f>
        <v/>
      </c>
      <c r="AN86" s="212"/>
      <c r="AO86" s="212"/>
      <c r="AP86" s="212"/>
      <c r="AQ86" s="212"/>
      <c r="AR86" s="212"/>
      <c r="AS86" s="212"/>
      <c r="AT86" s="212"/>
      <c r="AU86" s="212"/>
      <c r="AV86" s="212"/>
      <c r="AW86" s="212"/>
      <c r="AX86" s="212"/>
      <c r="AY86" s="212"/>
      <c r="AZ86" s="212"/>
      <c r="BA86" s="212"/>
      <c r="BB86" s="212"/>
      <c r="BC86" s="213"/>
      <c r="BD86" s="34"/>
      <c r="BE86" s="34"/>
      <c r="BF86" s="116" t="str">
        <f>IF([9]回答表!F17="水道事業",IF([9]回答表!X45="●",[9]回答表!B212,IF([9]回答表!AA45="●",[9]回答表!B278,"")),"")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IF([9]回答表!F17="水道事業",IF([9]回答表!X45="●",[9]回答表!J166,IF([9]回答表!AA45="●",[9]回答表!J231,"")),"")</f>
        <v/>
      </c>
      <c r="V88" s="120"/>
      <c r="W88" s="120"/>
      <c r="X88" s="120"/>
      <c r="Y88" s="120"/>
      <c r="Z88" s="120"/>
      <c r="AA88" s="120"/>
      <c r="AB88" s="121"/>
      <c r="AC88" s="119" t="str">
        <f>IF([9]回答表!F17="水道事業",IF([9]回答表!X45="●",[9]回答表!J173,IF([9]回答表!AA45="●",[9]回答表!J238,"")),"")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IF([9]回答表!F17="水道事業",IF([9]回答表!X45="●",[9]回答表!E212,IF([9]回答表!AA45="●",[9]回答表!E278,"")),"")</f>
        <v/>
      </c>
      <c r="BG89" s="84"/>
      <c r="BH89" s="84"/>
      <c r="BI89" s="84"/>
      <c r="BJ89" s="83" t="str">
        <f>IF([9]回答表!F17="水道事業",IF([9]回答表!X45="●",[9]回答表!E213,IF([9]回答表!AA45="●",[9]回答表!E279,"")),"")</f>
        <v/>
      </c>
      <c r="BK89" s="84"/>
      <c r="BL89" s="84"/>
      <c r="BM89" s="84"/>
      <c r="BN89" s="83" t="str">
        <f>IF([9]回答表!F17="水道事業",IF([9]回答表!X45="●",[9]回答表!E214,IF([9]回答表!AA45="●",[9]回答表!E280,"")),"")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IF([9]回答表!F17="水道事業",IF([9]回答表!AA45="●","●",""),"")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IF([9]回答表!F17="水道事業",IF([9]回答表!X45="●",[9]回答表!J176,IF([9]回答表!AA45="●",[9]回答表!J241,"")),"")</f>
        <v/>
      </c>
      <c r="V93" s="120"/>
      <c r="W93" s="120"/>
      <c r="X93" s="120"/>
      <c r="Y93" s="120"/>
      <c r="Z93" s="120"/>
      <c r="AA93" s="120"/>
      <c r="AB93" s="121"/>
      <c r="AC93" s="119" t="str">
        <f>IF([9]回答表!F17="水道事業",IF([9]回答表!X45="●",[9]回答表!J180,IF([9]回答表!AA45="●",[9]回答表!J245,"")),"")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IF([9]回答表!F17="水道事業",IF([9]回答表!AD45="○","○",""),"")</f>
        <v/>
      </c>
      <c r="O98" s="99"/>
      <c r="P98" s="99"/>
      <c r="Q98" s="100"/>
      <c r="R98" s="38"/>
      <c r="S98" s="38"/>
      <c r="T98" s="38"/>
      <c r="U98" s="107" t="str">
        <f>IF([9]回答表!F17="水道事業",IF([9]回答表!AD45="●",[9]回答表!B289,""),"")</f>
        <v/>
      </c>
      <c r="V98" s="108"/>
      <c r="W98" s="108"/>
      <c r="X98" s="108"/>
      <c r="Y98" s="108"/>
      <c r="Z98" s="108"/>
      <c r="AA98" s="108"/>
      <c r="AB98" s="108"/>
      <c r="AC98" s="108"/>
      <c r="AD98" s="108"/>
      <c r="AE98" s="108"/>
      <c r="AF98" s="108"/>
      <c r="AG98" s="108"/>
      <c r="AH98" s="108"/>
      <c r="AI98" s="108"/>
      <c r="AJ98" s="109"/>
      <c r="AK98" s="55"/>
      <c r="AL98" s="55"/>
      <c r="AM98" s="107" t="str">
        <f>IF([9]回答表!F17="水道事業",IF([9]回答表!AD45="●",[9]回答表!B295,""),"")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IF([9]回答表!F17="簡易水道事業",IF([9]回答表!X45="●",[9]回答表!B158,IF([9]回答表!AA45="●",[9]回答表!B223,"")),"")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IF([9]回答表!F17="簡易水道事業",IF([9]回答表!X45="●",[9]回答表!B212,IF([9]回答表!AA45="●",[9]回答表!B278,"")),"")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IF([9]回答表!F17="簡易水道事業",IF([9]回答表!X45="●","●",""),"")</f>
        <v/>
      </c>
      <c r="O112" s="99"/>
      <c r="P112" s="99"/>
      <c r="Q112" s="100"/>
      <c r="R112" s="38"/>
      <c r="S112" s="38"/>
      <c r="T112" s="38"/>
      <c r="U112" s="119" t="str">
        <f>IF([9]回答表!F17="簡易水道事業",IF([9]回答表!X45="●",[9]回答表!Y185,IF([9]回答表!AA45="●",[9]回答表!Y251,"")),"")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IF([9]回答表!F17="簡易水道事業",IF([9]回答表!X45="●",[9]回答表!E212,IF([9]回答表!AA45="●",[9]回答表!E278,"")),"")</f>
        <v/>
      </c>
      <c r="BG113" s="84"/>
      <c r="BH113" s="84"/>
      <c r="BI113" s="84"/>
      <c r="BJ113" s="83" t="str">
        <f>IF([9]回答表!F17="簡易水道事業",IF([9]回答表!X45="●",[9]回答表!E213,IF([9]回答表!AA45="●",[9]回答表!E279,"")),"")</f>
        <v/>
      </c>
      <c r="BK113" s="84"/>
      <c r="BL113" s="84"/>
      <c r="BM113" s="84"/>
      <c r="BN113" s="83" t="str">
        <f>IF([9]回答表!F17="簡易水道事業",IF([9]回答表!X45="●",[9]回答表!E214,IF([9]回答表!AA45="●",[9]回答表!E280,"")),"")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IF([9]回答表!F17="簡易水道事業",IF([9]回答表!X45="●",[9]回答表!Y186,IF([9]回答表!AA45="●",[9]回答表!Y252,"")),"")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IF([9]回答表!F17="簡易水道事業",IF([9]回答表!AA45="●","●",""),"")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IF([9]回答表!F17="簡易水道事業",IF([9]回答表!X45="●",[9]回答表!Y187,IF([9]回答表!AA45="●",[9]回答表!Y253,"")),"")</f>
        <v/>
      </c>
      <c r="V122" s="120"/>
      <c r="W122" s="120"/>
      <c r="X122" s="120"/>
      <c r="Y122" s="120"/>
      <c r="Z122" s="120"/>
      <c r="AA122" s="120"/>
      <c r="AB122" s="120"/>
      <c r="AC122" s="120"/>
      <c r="AD122" s="120"/>
      <c r="AE122" s="120"/>
      <c r="AF122" s="120"/>
      <c r="AG122" s="120"/>
      <c r="AH122" s="120"/>
      <c r="AI122" s="120"/>
      <c r="AJ122" s="121"/>
      <c r="AK122" s="18"/>
      <c r="AL122" s="18"/>
      <c r="AM122" s="228" t="str">
        <f>IF([9]回答表!F17="簡易水道事業",IF([9]回答表!X45="●",[9]回答表!Y189,IF([9]回答表!AA45="●",[9]回答表!Y255,"")),"")</f>
        <v/>
      </c>
      <c r="AN122" s="228"/>
      <c r="AO122" s="228"/>
      <c r="AP122" s="228"/>
      <c r="AQ122" s="228"/>
      <c r="AR122" s="228"/>
      <c r="AS122" s="228" t="str">
        <f>IF([9]回答表!F17="簡易水道事業",IF([9]回答表!X45="●",[9]回答表!Y190,IF([9]回答表!AA45="●",[9]回答表!Y256,"")),"")</f>
        <v/>
      </c>
      <c r="AT122" s="228"/>
      <c r="AU122" s="228"/>
      <c r="AV122" s="228"/>
      <c r="AW122" s="228"/>
      <c r="AX122" s="228"/>
      <c r="AY122" s="228" t="str">
        <f>IF([9]回答表!F17="簡易水道事業",IF([9]回答表!X45="●",[9]回答表!Y191,IF([9]回答表!AA45="●",[9]回答表!Y257,"")),"")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IF([9]回答表!F17="簡易水道事業",IF([9]回答表!AD45="●","●",""),"")</f>
        <v/>
      </c>
      <c r="O127" s="99"/>
      <c r="P127" s="99"/>
      <c r="Q127" s="100"/>
      <c r="R127" s="38"/>
      <c r="S127" s="38"/>
      <c r="T127" s="38"/>
      <c r="U127" s="107" t="str">
        <f>IF([9]回答表!F17="簡易水道事業",IF([9]回答表!AD45="●",[9]回答表!B289,""),"")</f>
        <v/>
      </c>
      <c r="V127" s="108"/>
      <c r="W127" s="108"/>
      <c r="X127" s="108"/>
      <c r="Y127" s="108"/>
      <c r="Z127" s="108"/>
      <c r="AA127" s="108"/>
      <c r="AB127" s="108"/>
      <c r="AC127" s="108"/>
      <c r="AD127" s="108"/>
      <c r="AE127" s="108"/>
      <c r="AF127" s="108"/>
      <c r="AG127" s="108"/>
      <c r="AH127" s="108"/>
      <c r="AI127" s="108"/>
      <c r="AJ127" s="109"/>
      <c r="AK127" s="55"/>
      <c r="AL127" s="55"/>
      <c r="AM127" s="107" t="str">
        <f>IF([9]回答表!F17="簡易水道事業",IF([9]回答表!AD45="●",[9]回答表!B295,""),"")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IF([9]回答表!F17="下水道事業",IF([9]回答表!X45="●","●",""),"")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IF([9]回答表!F17="下水道事業",IF([9]回答表!X45="●",[9]回答表!B158,IF([9]回答表!AA45="●",[9]回答表!B223,"")),"")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IF([9]回答表!F17="下水道事業",IF([9]回答表!X45="●",[9]回答表!B212,IF([9]回答表!AA45="●",[9]回答表!B278,"")),"")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IF([9]回答表!F17="下水道事業",IF([9]回答表!X45="●",[9]回答表!Y193,IF([9]回答表!AA45="●",[9]回答表!Y259,"")),"")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IF([9]回答表!F17="下水道事業",IF([9]回答表!X45="●",[9]回答表!E212,IF([9]回答表!AA45="●",[9]回答表!E278,"")),"")</f>
        <v/>
      </c>
      <c r="BG142" s="84"/>
      <c r="BH142" s="84"/>
      <c r="BI142" s="84"/>
      <c r="BJ142" s="83" t="str">
        <f>IF([9]回答表!F17="下水道事業",IF([9]回答表!X45="●",[9]回答表!E213,IF([9]回答表!AA45="●",[9]回答表!E279,"")),"")</f>
        <v/>
      </c>
      <c r="BK142" s="84"/>
      <c r="BL142" s="84"/>
      <c r="BM142" s="84"/>
      <c r="BN142" s="83" t="str">
        <f>IF([9]回答表!F17="下水道事業",IF([9]回答表!X45="●",[9]回答表!E214,IF([9]回答表!AA45="●",[9]回答表!E280,"")),"")</f>
        <v/>
      </c>
      <c r="BO142" s="84"/>
      <c r="BP142" s="84"/>
      <c r="BQ142" s="87"/>
      <c r="BR142" s="37"/>
      <c r="BX142" s="211" t="str">
        <f>IF([9]回答表!AQ20="下水道事業",IF([9]回答表!BI48="○",[9]回答表!AM161,IF([9]回答表!BL48="○",[9]回答表!AM226,"")),"")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IF([9]回答表!F17="下水道事業",IF([9]回答表!X45="●",[9]回答表!Y195,IF([9]回答表!AA45="●",[9]回答表!Y261,"")),"")</f>
        <v/>
      </c>
      <c r="V147" s="120"/>
      <c r="W147" s="120"/>
      <c r="X147" s="120"/>
      <c r="Y147" s="120"/>
      <c r="Z147" s="120"/>
      <c r="AA147" s="120"/>
      <c r="AB147" s="121"/>
      <c r="AC147" s="119" t="str">
        <f>IF([9]回答表!F17="下水道事業",IF([9]回答表!X45="●",[9]回答表!Y196,IF([9]回答表!AA45="●",[9]回答表!Y262,"")),"")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IF([9]回答表!F17="下水道事業",IF([9]回答表!X45="●",[9]回答表!Y198,IF([9]回答表!AA45="●",[9]回答表!Y264,"")),"")</f>
        <v/>
      </c>
      <c r="V153" s="120"/>
      <c r="W153" s="120"/>
      <c r="X153" s="120"/>
      <c r="Y153" s="120"/>
      <c r="Z153" s="120"/>
      <c r="AA153" s="120"/>
      <c r="AB153" s="121"/>
      <c r="AC153" s="119" t="str">
        <f>IF([9]回答表!F17="下水道事業",IF([9]回答表!X45="●",[9]回答表!Y199,IF([9]回答表!AA45="●",[9]回答表!Y265,"")),"")</f>
        <v/>
      </c>
      <c r="AD153" s="120"/>
      <c r="AE153" s="120"/>
      <c r="AF153" s="120"/>
      <c r="AG153" s="120"/>
      <c r="AH153" s="120"/>
      <c r="AI153" s="120"/>
      <c r="AJ153" s="121"/>
      <c r="AK153" s="119" t="str">
        <f>IF([9]回答表!F17="下水道事業",IF([9]回答表!X45="●",[9]回答表!Y200,IF([9]回答表!AA45="●",[9]回答表!Y266,"")),"")</f>
        <v/>
      </c>
      <c r="AL153" s="120"/>
      <c r="AM153" s="120"/>
      <c r="AN153" s="120"/>
      <c r="AO153" s="120"/>
      <c r="AP153" s="120"/>
      <c r="AQ153" s="120"/>
      <c r="AR153" s="121"/>
      <c r="AS153" s="119" t="str">
        <f>IF([9]回答表!F17="下水道事業",IF([9]回答表!X45="●",[9]回答表!Y201,IF([9]回答表!AA45="●",[9]回答表!Y267,"")),"")</f>
        <v/>
      </c>
      <c r="AT153" s="120"/>
      <c r="AU153" s="120"/>
      <c r="AV153" s="120"/>
      <c r="AW153" s="120"/>
      <c r="AX153" s="120"/>
      <c r="AY153" s="120"/>
      <c r="AZ153" s="121"/>
      <c r="BA153" s="119" t="str">
        <f>IF([9]回答表!F17="下水道事業",IF([9]回答表!X45="●",[9]回答表!Y202,IF([9]回答表!AA45="●",[9]回答表!Y268,"")),"")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IF([9]回答表!F17="下水道事業",IF([9]回答表!AA45="●","●",""),"")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IF([9]回答表!F17="下水道事業",IF([9]回答表!X45="●",[9]回答表!Y207,IF([9]回答表!AA45="●",[9]回答表!Y273,"")),"")</f>
        <v/>
      </c>
      <c r="V159" s="120"/>
      <c r="W159" s="120"/>
      <c r="X159" s="120"/>
      <c r="Y159" s="120"/>
      <c r="Z159" s="120"/>
      <c r="AA159" s="120"/>
      <c r="AB159" s="121"/>
      <c r="AC159" s="119" t="str">
        <f>IF([9]回答表!F17="下水道事業",IF([9]回答表!X45="●",[9]回答表!Y208,IF([9]回答表!AA45="●",[9]回答表!Y274,"")),"")</f>
        <v/>
      </c>
      <c r="AD159" s="120"/>
      <c r="AE159" s="120"/>
      <c r="AF159" s="120"/>
      <c r="AG159" s="120"/>
      <c r="AH159" s="120"/>
      <c r="AI159" s="120"/>
      <c r="AJ159" s="121"/>
      <c r="AK159" s="119" t="str">
        <f>IF([9]回答表!F17="下水道事業",IF([9]回答表!X45="●",[9]回答表!Y209,IF([9]回答表!AA45="●",[9]回答表!Y275,"")),"")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IF([9]回答表!F17="下水道事業",IF([9]回答表!AD45="●","●",""),"")</f>
        <v/>
      </c>
      <c r="O164" s="99"/>
      <c r="P164" s="99"/>
      <c r="Q164" s="100"/>
      <c r="R164" s="38"/>
      <c r="S164" s="38"/>
      <c r="T164" s="38"/>
      <c r="U164" s="107" t="str">
        <f>IF([9]回答表!F17="下水道事業",IF([9]回答表!AD45="●",[9]回答表!B289,""),"")</f>
        <v/>
      </c>
      <c r="V164" s="108"/>
      <c r="W164" s="108"/>
      <c r="X164" s="108"/>
      <c r="Y164" s="108"/>
      <c r="Z164" s="108"/>
      <c r="AA164" s="108"/>
      <c r="AB164" s="108"/>
      <c r="AC164" s="108"/>
      <c r="AD164" s="108"/>
      <c r="AE164" s="108"/>
      <c r="AF164" s="108"/>
      <c r="AG164" s="108"/>
      <c r="AH164" s="108"/>
      <c r="AI164" s="108"/>
      <c r="AJ164" s="109"/>
      <c r="AK164" s="55"/>
      <c r="AL164" s="55"/>
      <c r="AM164" s="107" t="str">
        <f>IF([9]回答表!F17="下水道事業",IF([9]回答表!AD45="●",[9]回答表!B295,""),"")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IF([9]回答表!BD17="●",IF([9]回答表!X45="●","●",""),"")</f>
        <v/>
      </c>
      <c r="O176" s="99"/>
      <c r="P176" s="99"/>
      <c r="Q176" s="100"/>
      <c r="R176" s="38"/>
      <c r="S176" s="38"/>
      <c r="T176" s="38"/>
      <c r="U176" s="107" t="str">
        <f>IF([9]回答表!BD17="●",IF([9]回答表!X45="●",[9]回答表!B158,IF([9]回答表!AA45="●",[9]回答表!B223,"")),"")</f>
        <v/>
      </c>
      <c r="V176" s="108"/>
      <c r="W176" s="108"/>
      <c r="X176" s="108"/>
      <c r="Y176" s="108"/>
      <c r="Z176" s="108"/>
      <c r="AA176" s="108"/>
      <c r="AB176" s="108"/>
      <c r="AC176" s="108"/>
      <c r="AD176" s="108"/>
      <c r="AE176" s="108"/>
      <c r="AF176" s="108"/>
      <c r="AG176" s="108"/>
      <c r="AH176" s="108"/>
      <c r="AI176" s="108"/>
      <c r="AJ176" s="109"/>
      <c r="AK176" s="49"/>
      <c r="AL176" s="49"/>
      <c r="AM176" s="116" t="str">
        <f>IF([9]回答表!BD17="●",IF([9]回答表!X45="●",[9]回答表!B212,IF([9]回答表!AA45="●",[9]回答表!B278,"")),"")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IF([9]回答表!BD17="●",IF([9]回答表!X45="●",[9]回答表!E212,IF([9]回答表!AA45="●",[9]回答表!E278,"")),"")</f>
        <v/>
      </c>
      <c r="AN179" s="84"/>
      <c r="AO179" s="84"/>
      <c r="AP179" s="84"/>
      <c r="AQ179" s="83" t="str">
        <f>IF([9]回答表!BD17="●",IF([9]回答表!X45="●",[9]回答表!E213,IF([9]回答表!AA45="●",[9]回答表!E279,"")),"")</f>
        <v/>
      </c>
      <c r="AR179" s="84"/>
      <c r="AS179" s="84"/>
      <c r="AT179" s="84"/>
      <c r="AU179" s="83" t="str">
        <f>IF([9]回答表!BD17="●",IF([9]回答表!X45="●",[9]回答表!E214,IF([9]回答表!AA45="●",[9]回答表!E280,"")),"")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IF([9]回答表!BD17="●",IF([9]回答表!AA45="●","●",""),"")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IF([9]回答表!BD17="●",IF([9]回答表!AD45="●","●",""),"")</f>
        <v/>
      </c>
      <c r="O188" s="99"/>
      <c r="P188" s="99"/>
      <c r="Q188" s="100"/>
      <c r="R188" s="38"/>
      <c r="S188" s="38"/>
      <c r="T188" s="38"/>
      <c r="U188" s="107" t="str">
        <f>IF([9]回答表!BD17="●",IF([9]回答表!AD45="●",[9]回答表!B289,""),"")</f>
        <v/>
      </c>
      <c r="V188" s="108"/>
      <c r="W188" s="108"/>
      <c r="X188" s="108"/>
      <c r="Y188" s="108"/>
      <c r="Z188" s="108"/>
      <c r="AA188" s="108"/>
      <c r="AB188" s="108"/>
      <c r="AC188" s="108"/>
      <c r="AD188" s="108"/>
      <c r="AE188" s="108"/>
      <c r="AF188" s="108"/>
      <c r="AG188" s="108"/>
      <c r="AH188" s="108"/>
      <c r="AI188" s="108"/>
      <c r="AJ188" s="109"/>
      <c r="AK188" s="55"/>
      <c r="AL188" s="55"/>
      <c r="AM188" s="107" t="str">
        <f>IF([9]回答表!BD17="●",IF([9]回答表!AD45="●",[9]回答表!B295,""),"")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IF([9]回答表!X46="●","●","")</f>
        <v/>
      </c>
      <c r="O200" s="99"/>
      <c r="P200" s="99"/>
      <c r="Q200" s="100"/>
      <c r="R200" s="38"/>
      <c r="S200" s="38"/>
      <c r="T200" s="38"/>
      <c r="U200" s="107" t="str">
        <f>IF([9]回答表!X46="●",[9]回答表!B307,IF([9]回答表!AA46="●",[9]回答表!B324,""))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IF([9]回答表!X46="●",[9]回答表!U313,IF([9]回答表!AA46="●",[9]回答表!U330,""))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IF([9]回答表!X46="●",[9]回答表!G313,IF([9]回答表!AA46="●",[9]回答表!G330,""))</f>
        <v/>
      </c>
      <c r="AN203" s="120"/>
      <c r="AO203" s="120"/>
      <c r="AP203" s="120"/>
      <c r="AQ203" s="120"/>
      <c r="AR203" s="120"/>
      <c r="AS203" s="120"/>
      <c r="AT203" s="121"/>
      <c r="AU203" s="119" t="str">
        <f>IF([9]回答表!X46="●",[9]回答表!G314,IF([9]回答表!AA46="●",[9]回答表!G331,""))</f>
        <v/>
      </c>
      <c r="AV203" s="120"/>
      <c r="AW203" s="120"/>
      <c r="AX203" s="120"/>
      <c r="AY203" s="120"/>
      <c r="AZ203" s="120"/>
      <c r="BA203" s="120"/>
      <c r="BB203" s="121"/>
      <c r="BC203" s="39"/>
      <c r="BD203" s="34"/>
      <c r="BE203" s="34"/>
      <c r="BF203" s="83" t="str">
        <f>IF([9]回答表!X46="●",[9]回答表!X313,IF([9]回答表!AA46="●",[9]回答表!X330,""))</f>
        <v/>
      </c>
      <c r="BG203" s="84"/>
      <c r="BH203" s="84"/>
      <c r="BI203" s="84"/>
      <c r="BJ203" s="83" t="str">
        <f>IF([9]回答表!X46="●",[9]回答表!X314,IF([9]回答表!AA46="●",[9]回答表!X331,""))</f>
        <v/>
      </c>
      <c r="BK203" s="84"/>
      <c r="BL203" s="84"/>
      <c r="BM203" s="87"/>
      <c r="BN203" s="83" t="str">
        <f>IF([9]回答表!X46="●",[9]回答表!X315,IF([9]回答表!AA46="●",[9]回答表!X332,""))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IF([9]回答表!AA46="●","●","")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IF([9]回答表!AD46="●","●","")</f>
        <v/>
      </c>
      <c r="O212" s="99"/>
      <c r="P212" s="99"/>
      <c r="Q212" s="100"/>
      <c r="R212" s="38"/>
      <c r="S212" s="38"/>
      <c r="T212" s="38"/>
      <c r="U212" s="107" t="str">
        <f>IF([9]回答表!AD46="●",[9]回答表!B337,"")</f>
        <v/>
      </c>
      <c r="V212" s="108"/>
      <c r="W212" s="108"/>
      <c r="X212" s="108"/>
      <c r="Y212" s="108"/>
      <c r="Z212" s="108"/>
      <c r="AA212" s="108"/>
      <c r="AB212" s="108"/>
      <c r="AC212" s="108"/>
      <c r="AD212" s="108"/>
      <c r="AE212" s="108"/>
      <c r="AF212" s="108"/>
      <c r="AG212" s="108"/>
      <c r="AH212" s="108"/>
      <c r="AI212" s="108"/>
      <c r="AJ212" s="109"/>
      <c r="AK212" s="62"/>
      <c r="AL212" s="62"/>
      <c r="AM212" s="107" t="str">
        <f>IF([9]回答表!AD46="●",[9]回答表!B343,"")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IF([9]回答表!X47="●","●","")</f>
        <v/>
      </c>
      <c r="O224" s="99"/>
      <c r="P224" s="99"/>
      <c r="Q224" s="100"/>
      <c r="R224" s="38"/>
      <c r="S224" s="38"/>
      <c r="T224" s="38"/>
      <c r="U224" s="107" t="str">
        <f>IF([9]回答表!X47="●",[9]回答表!B356,IF([9]回答表!AA47="●",[9]回答表!B379,""))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IF([9]回答表!X47="●",[9]回答表!B362,"")</f>
        <v/>
      </c>
      <c r="AO224" s="182"/>
      <c r="AP224" s="182"/>
      <c r="AQ224" s="182"/>
      <c r="AR224" s="182"/>
      <c r="AS224" s="182"/>
      <c r="AT224" s="182"/>
      <c r="AU224" s="182"/>
      <c r="AV224" s="182"/>
      <c r="AW224" s="182"/>
      <c r="AX224" s="182"/>
      <c r="AY224" s="182"/>
      <c r="AZ224" s="182"/>
      <c r="BA224" s="182"/>
      <c r="BB224" s="183"/>
      <c r="BC224" s="39"/>
      <c r="BD224" s="34"/>
      <c r="BE224" s="34"/>
      <c r="BF224" s="116" t="str">
        <f>IF([9]回答表!X47="●",[9]回答表!B368,IF([9]回答表!AA47="●",[9]回答表!B385,""))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IF([9]回答表!X47="●",[9]回答表!E368,IF([9]回答表!AA47="●",[9]回答表!E385,""))</f>
        <v/>
      </c>
      <c r="BG227" s="84"/>
      <c r="BH227" s="84"/>
      <c r="BI227" s="84"/>
      <c r="BJ227" s="83" t="str">
        <f>IF([9]回答表!X47="●",[9]回答表!E369,IF([9]回答表!AA47="●",[9]回答表!E386,""))</f>
        <v/>
      </c>
      <c r="BK227" s="84"/>
      <c r="BL227" s="84"/>
      <c r="BM227" s="87"/>
      <c r="BN227" s="83" t="str">
        <f>IF([9]回答表!X47="●",[9]回答表!E370,IF([9]回答表!AA47="●",[9]回答表!E387,""))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IF([9]回答表!AA47="●","●","")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IF([9]回答表!AD47="●","●","")</f>
        <v/>
      </c>
      <c r="O236" s="99"/>
      <c r="P236" s="99"/>
      <c r="Q236" s="100"/>
      <c r="R236" s="38"/>
      <c r="S236" s="38"/>
      <c r="T236" s="38"/>
      <c r="U236" s="107" t="str">
        <f>IF([9]回答表!AD47="●",[9]回答表!B392,"")</f>
        <v/>
      </c>
      <c r="V236" s="108"/>
      <c r="W236" s="108"/>
      <c r="X236" s="108"/>
      <c r="Y236" s="108"/>
      <c r="Z236" s="108"/>
      <c r="AA236" s="108"/>
      <c r="AB236" s="108"/>
      <c r="AC236" s="108"/>
      <c r="AD236" s="108"/>
      <c r="AE236" s="108"/>
      <c r="AF236" s="108"/>
      <c r="AG236" s="108"/>
      <c r="AH236" s="108"/>
      <c r="AI236" s="108"/>
      <c r="AJ236" s="109"/>
      <c r="AK236" s="62"/>
      <c r="AL236" s="62"/>
      <c r="AM236" s="107" t="str">
        <f>IF([9]回答表!AD47="●",[9]回答表!B398,"")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IF([9]回答表!X48="●","●","")</f>
        <v/>
      </c>
      <c r="O248" s="99"/>
      <c r="P248" s="99"/>
      <c r="Q248" s="100"/>
      <c r="R248" s="38"/>
      <c r="S248" s="38"/>
      <c r="T248" s="38"/>
      <c r="U248" s="107" t="str">
        <f>IF([9]回答表!X48="●",[9]回答表!B411,IF([9]回答表!AA48="●",[9]回答表!B425,""))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IF([9]回答表!X48="●",[9]回答表!BC418,IF([9]回答表!AA48="●",[9]回答表!BC432,""))</f>
        <v/>
      </c>
      <c r="AR248" s="151"/>
      <c r="AS248" s="151"/>
      <c r="AT248" s="151"/>
      <c r="AU248" s="173" t="s">
        <v>73</v>
      </c>
      <c r="AV248" s="174"/>
      <c r="AW248" s="174"/>
      <c r="AX248" s="175"/>
      <c r="AY248" s="151" t="str">
        <f>IF([9]回答表!X48="●",[9]回答表!BC423,IF([9]回答表!AA48="●",[9]回答表!BC437,""))</f>
        <v/>
      </c>
      <c r="AZ248" s="151"/>
      <c r="BA248" s="151"/>
      <c r="BB248" s="151"/>
      <c r="BC248" s="39"/>
      <c r="BD248" s="34"/>
      <c r="BE248" s="34"/>
      <c r="BF248" s="116" t="str">
        <f>IF([9]回答表!X48="●",[9]回答表!S417,IF([9]回答表!AA48="●",[9]回答表!S431,""))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IF([9]回答表!X48="●",[9]回答表!BC419,IF([9]回答表!AA48="●",[9]回答表!BC433,""))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IF([9]回答表!X48="●",[9]回答表!V417,IF([9]回答表!AA48="●",[9]回答表!V431,""))</f>
        <v/>
      </c>
      <c r="BG251" s="84"/>
      <c r="BH251" s="84"/>
      <c r="BI251" s="84"/>
      <c r="BJ251" s="83" t="str">
        <f>IF([9]回答表!X48="●",[9]回答表!V418,IF([9]回答表!AA48="●",[9]回答表!V432,""))</f>
        <v/>
      </c>
      <c r="BK251" s="84"/>
      <c r="BL251" s="84"/>
      <c r="BM251" s="87"/>
      <c r="BN251" s="83" t="str">
        <f>IF([9]回答表!X48="●",[9]回答表!V419,IF([9]回答表!AA48="●",[9]回答表!V433,""))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IF([9]回答表!X48="●",[9]回答表!BC420,IF([9]回答表!AA48="●",[9]回答表!BC434,""))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IF([9]回答表!X48="●",[9]回答表!BC424,IF([9]回答表!AA48="●",[9]回答表!BC438,""))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IF([9]回答表!AA48="●","●","")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IF([9]回答表!X48="●",[9]回答表!BC421,IF([9]回答表!AA48="●",[9]回答表!BC435,""))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IF([9]回答表!X48="●",[9]回答表!BC422,IF([9]回答表!AA48="●",[9]回答表!BC436,""))</f>
        <v/>
      </c>
      <c r="AR256" s="151"/>
      <c r="AS256" s="151"/>
      <c r="AT256" s="151"/>
      <c r="AU256" s="152" t="s">
        <v>79</v>
      </c>
      <c r="AV256" s="153"/>
      <c r="AW256" s="153"/>
      <c r="AX256" s="154"/>
      <c r="AY256" s="158" t="str">
        <f>IF([9]回答表!X48="●",[9]回答表!BC425,IF([9]回答表!AA48="●",[9]回答表!BC439,""))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IF([9]回答表!AD48="●","●","")</f>
        <v/>
      </c>
      <c r="O260" s="99"/>
      <c r="P260" s="99"/>
      <c r="Q260" s="100"/>
      <c r="R260" s="38"/>
      <c r="S260" s="38"/>
      <c r="T260" s="38"/>
      <c r="U260" s="107" t="str">
        <f>IF([9]回答表!AD48="●",[9]回答表!B439,"")</f>
        <v/>
      </c>
      <c r="V260" s="108"/>
      <c r="W260" s="108"/>
      <c r="X260" s="108"/>
      <c r="Y260" s="108"/>
      <c r="Z260" s="108"/>
      <c r="AA260" s="108"/>
      <c r="AB260" s="108"/>
      <c r="AC260" s="108"/>
      <c r="AD260" s="108"/>
      <c r="AE260" s="108"/>
      <c r="AF260" s="108"/>
      <c r="AG260" s="108"/>
      <c r="AH260" s="108"/>
      <c r="AI260" s="108"/>
      <c r="AJ260" s="109"/>
      <c r="AK260" s="55"/>
      <c r="AL260" s="55"/>
      <c r="AM260" s="107" t="str">
        <f>IF([9]回答表!AD48="●",[9]回答表!B445,"")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IF([9]回答表!X49="●","●","")</f>
        <v/>
      </c>
      <c r="O271" s="99"/>
      <c r="P271" s="99"/>
      <c r="Q271" s="100"/>
      <c r="R271" s="38"/>
      <c r="S271" s="38"/>
      <c r="T271" s="38"/>
      <c r="U271" s="107" t="str">
        <f>IF([9]回答表!X49="●",[9]回答表!B458,IF([9]回答表!AA49="●",[9]回答表!B475,""))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IF([9]回答表!X49="●",[9]回答表!B468,IF([9]回答表!AA49="●",[9]回答表!B485,""))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IF([9]回答表!X49="●",[9]回答表!G464,IF([9]回答表!AA49="●",[9]回答表!G481,""))</f>
        <v/>
      </c>
      <c r="AN273" s="120"/>
      <c r="AO273" s="120"/>
      <c r="AP273" s="120"/>
      <c r="AQ273" s="120"/>
      <c r="AR273" s="120"/>
      <c r="AS273" s="120"/>
      <c r="AT273" s="121"/>
      <c r="AU273" s="119" t="str">
        <f>IF([9]回答表!X49="●",[9]回答表!G465,IF([9]回答表!AA49="●",[9]回答表!G482,""))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IF([9]回答表!X49="●",[9]回答表!E468,IF([9]回答表!AA49="●",[9]回答表!E485,""))</f>
        <v/>
      </c>
      <c r="BG274" s="84"/>
      <c r="BH274" s="84"/>
      <c r="BI274" s="84"/>
      <c r="BJ274" s="83" t="str">
        <f>IF([9]回答表!X49="●",[9]回答表!E469,IF([9]回答表!AA49="●",[9]回答表!E486,""))</f>
        <v/>
      </c>
      <c r="BK274" s="84"/>
      <c r="BL274" s="84"/>
      <c r="BM274" s="87"/>
      <c r="BN274" s="83" t="str">
        <f>IF([9]回答表!X49="●",[9]回答表!E470,IF([9]回答表!AA49="●",[9]回答表!E487,""))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IF([9]回答表!AA49="●","●","")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IF([9]回答表!AD49="●","●","")</f>
        <v/>
      </c>
      <c r="O283" s="99"/>
      <c r="P283" s="99"/>
      <c r="Q283" s="100"/>
      <c r="R283" s="38"/>
      <c r="S283" s="38"/>
      <c r="T283" s="38"/>
      <c r="U283" s="107" t="str">
        <f>IF([9]回答表!AD49="●",[9]回答表!B492,"")</f>
        <v/>
      </c>
      <c r="V283" s="108"/>
      <c r="W283" s="108"/>
      <c r="X283" s="108"/>
      <c r="Y283" s="108"/>
      <c r="Z283" s="108"/>
      <c r="AA283" s="108"/>
      <c r="AB283" s="108"/>
      <c r="AC283" s="108"/>
      <c r="AD283" s="108"/>
      <c r="AE283" s="108"/>
      <c r="AF283" s="108"/>
      <c r="AG283" s="108"/>
      <c r="AH283" s="108"/>
      <c r="AI283" s="108"/>
      <c r="AJ283" s="109"/>
      <c r="AK283" s="49"/>
      <c r="AL283" s="49"/>
      <c r="AM283" s="107" t="str">
        <f>IF([9]回答表!AD49="●",[9]回答表!B498,"")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IF([9]回答表!R50="●",[9]回答表!B511,"")</f>
        <v>市直営施設としての役割、運営にあたり、民間事業所では受け入れ困難なケース、及び多様化する住民のニーズに対応し、今後も迅速かつ公平なサービスの提供を継続する必要がある。そのために、業務の効率化や簡素化を進めた事業展開を行って行く。介護職の人員不足により、抜本的な改革の方向性については、近い将来に指定管理制度の導入や一部業務の民間委託も視野に検討していく予定。</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CD3EB-0519-468D-B7D0-8B81B9813E82}">
  <sheetPr>
    <pageSetUpPr fitToPage="1"/>
  </sheetPr>
  <dimension ref="A1:CN315"/>
  <sheetViews>
    <sheetView showZeros="0" view="pageBreakPreview" zoomScale="60" zoomScaleNormal="55" workbookViewId="0">
      <selection activeCell="R32" sqref="R32:BB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IF(COUNTIF([8]回答表!K15,"*")&gt;0,[8]回答表!K15,"")</f>
        <v>横手市</v>
      </c>
      <c r="D11" s="299"/>
      <c r="E11" s="299"/>
      <c r="F11" s="299"/>
      <c r="G11" s="299"/>
      <c r="H11" s="299"/>
      <c r="I11" s="299"/>
      <c r="J11" s="299"/>
      <c r="K11" s="299"/>
      <c r="L11" s="299"/>
      <c r="M11" s="299"/>
      <c r="N11" s="299"/>
      <c r="O11" s="299"/>
      <c r="P11" s="299"/>
      <c r="Q11" s="299"/>
      <c r="R11" s="299"/>
      <c r="S11" s="299"/>
      <c r="T11" s="299"/>
      <c r="U11" s="306" t="str">
        <f>IF(COUNTIF([8]回答表!F17,"*")&gt;0,[8]回答表!F17,"")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IF(COUNTIF([8]回答表!W17,"*")&gt;0,[8]回答表!W17,"")</f>
        <v>老人デイサービスセンター</v>
      </c>
      <c r="AP11" s="301"/>
      <c r="AQ11" s="301"/>
      <c r="AR11" s="301"/>
      <c r="AS11" s="301"/>
      <c r="AT11" s="301"/>
      <c r="AU11" s="301"/>
      <c r="AV11" s="301"/>
      <c r="AW11" s="301"/>
      <c r="AX11" s="301"/>
      <c r="AY11" s="301"/>
      <c r="AZ11" s="301"/>
      <c r="BA11" s="301"/>
      <c r="BB11" s="301"/>
      <c r="BC11" s="301"/>
      <c r="BD11" s="301"/>
      <c r="BE11" s="301"/>
      <c r="BF11" s="302"/>
      <c r="BG11" s="305" t="str">
        <f>IF(COUNTIF([8]回答表!F19,"*")&gt;0,[8]回答表!F19,"")</f>
        <v>市営介護サービス事業特別会計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IF([8]回答表!R43="●","●","")</f>
        <v/>
      </c>
      <c r="E24" s="123"/>
      <c r="F24" s="123"/>
      <c r="G24" s="123"/>
      <c r="H24" s="123"/>
      <c r="I24" s="123"/>
      <c r="J24" s="124"/>
      <c r="K24" s="122" t="str">
        <f>IF([8]回答表!R44="●","●","")</f>
        <v/>
      </c>
      <c r="L24" s="123"/>
      <c r="M24" s="123"/>
      <c r="N24" s="123"/>
      <c r="O24" s="123"/>
      <c r="P24" s="123"/>
      <c r="Q24" s="124"/>
      <c r="R24" s="122" t="str">
        <f>IF([8]回答表!R45="●","●","")</f>
        <v/>
      </c>
      <c r="S24" s="123"/>
      <c r="T24" s="123"/>
      <c r="U24" s="123"/>
      <c r="V24" s="123"/>
      <c r="W24" s="123"/>
      <c r="X24" s="124"/>
      <c r="Y24" s="122" t="str">
        <f>IF([8]回答表!R46="●","●","")</f>
        <v/>
      </c>
      <c r="Z24" s="123"/>
      <c r="AA24" s="123"/>
      <c r="AB24" s="123"/>
      <c r="AC24" s="123"/>
      <c r="AD24" s="123"/>
      <c r="AE24" s="124"/>
      <c r="AF24" s="122" t="str">
        <f>IF([8]回答表!R47="●","●","")</f>
        <v/>
      </c>
      <c r="AG24" s="123"/>
      <c r="AH24" s="123"/>
      <c r="AI24" s="123"/>
      <c r="AJ24" s="123"/>
      <c r="AK24" s="123"/>
      <c r="AL24" s="124"/>
      <c r="AM24" s="122" t="str">
        <f>IF([8]回答表!R48="●","●","")</f>
        <v/>
      </c>
      <c r="AN24" s="123"/>
      <c r="AO24" s="123"/>
      <c r="AP24" s="123"/>
      <c r="AQ24" s="123"/>
      <c r="AR24" s="123"/>
      <c r="AS24" s="124"/>
      <c r="AT24" s="122" t="str">
        <f>IF([8]回答表!R49="●","●","")</f>
        <v/>
      </c>
      <c r="AU24" s="123"/>
      <c r="AV24" s="123"/>
      <c r="AW24" s="123"/>
      <c r="AX24" s="123"/>
      <c r="AY24" s="123"/>
      <c r="AZ24" s="124"/>
      <c r="BA24" s="18"/>
      <c r="BB24" s="119" t="str">
        <f>IF([8]回答表!R50="●","●","")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IF([8]回答表!X43="●","●","")</f>
        <v/>
      </c>
      <c r="O36" s="99"/>
      <c r="P36" s="99"/>
      <c r="Q36" s="100"/>
      <c r="R36" s="38"/>
      <c r="S36" s="38"/>
      <c r="T36" s="38"/>
      <c r="U36" s="107" t="str">
        <f>IF([8]回答表!X43="●",[8]回答表!B59,IF([8]回答表!AA43="●",[8]回答表!B79,""))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IF([8]回答表!X43="●",[8]回答表!S65,IF([8]回答表!AA43="●",[8]回答表!S85,""))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IF([8]回答表!X43="●",[8]回答表!G65,IF([8]回答表!AA43="●",[8]回答表!G85,""))</f>
        <v/>
      </c>
      <c r="AN38" s="120"/>
      <c r="AO38" s="120"/>
      <c r="AP38" s="120"/>
      <c r="AQ38" s="120"/>
      <c r="AR38" s="120"/>
      <c r="AS38" s="120"/>
      <c r="AT38" s="121"/>
      <c r="AU38" s="119" t="str">
        <f>IF([8]回答表!X43="●",[8]回答表!G66,IF([8]回答表!AA43="●",[8]回答表!G86,""))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IF([8]回答表!X43="●",[8]回答表!V65,IF([8]回答表!AA43="●",[8]回答表!V85,""))</f>
        <v/>
      </c>
      <c r="BG39" s="249"/>
      <c r="BH39" s="249"/>
      <c r="BI39" s="250"/>
      <c r="BJ39" s="83" t="str">
        <f>IF([8]回答表!X43="●",[8]回答表!V66,IF([8]回答表!AA43="●",[8]回答表!V86,""))</f>
        <v/>
      </c>
      <c r="BK39" s="249"/>
      <c r="BL39" s="249"/>
      <c r="BM39" s="250"/>
      <c r="BN39" s="83" t="str">
        <f>IF([8]回答表!X43="●",[8]回答表!V67,IF([8]回答表!AA43="●",[8]回答表!V87,""))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IF([8]回答表!X43="●",[8]回答表!O71,IF([8]回答表!AA43="●",[8]回答表!O91,""))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IF([8]回答表!X43="●",[8]回答表!O72,IF([8]回答表!AA43="●",[8]回答表!O92,""))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IF([8]回答表!AA43="●","●","")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IF([8]回答表!X43="●",[8]回答表!O73,IF([8]回答表!AA43="●",[8]回答表!O93,""))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IF([8]回答表!X43="●",[8]回答表!O74,IF([8]回答表!AA43="●",[8]回答表!O94,""))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IF([8]回答表!X43="●",[8]回答表!AG71,IF([8]回答表!AA43="●",[8]回答表!AG91,""))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IF([8]回答表!X43="●",[8]回答表!AG72,IF([8]回答表!AA43="●",[8]回答表!AG92,""))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IF([8]回答表!AD43="●","●","")</f>
        <v/>
      </c>
      <c r="O51" s="99"/>
      <c r="P51" s="99"/>
      <c r="Q51" s="100"/>
      <c r="R51" s="38"/>
      <c r="S51" s="38"/>
      <c r="T51" s="38"/>
      <c r="U51" s="107" t="str">
        <f>IF([8]回答表!AD43="●",[8]回答表!B99,"")</f>
        <v/>
      </c>
      <c r="V51" s="108"/>
      <c r="W51" s="108"/>
      <c r="X51" s="108"/>
      <c r="Y51" s="108"/>
      <c r="Z51" s="108"/>
      <c r="AA51" s="108"/>
      <c r="AB51" s="108"/>
      <c r="AC51" s="108"/>
      <c r="AD51" s="108"/>
      <c r="AE51" s="108"/>
      <c r="AF51" s="108"/>
      <c r="AG51" s="108"/>
      <c r="AH51" s="108"/>
      <c r="AI51" s="108"/>
      <c r="AJ51" s="109"/>
      <c r="AK51" s="55"/>
      <c r="AL51" s="55"/>
      <c r="AM51" s="107" t="str">
        <f>IF([8]回答表!AD43="●",[8]回答表!B104,"")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IF([8]回答表!X44="●","●","")</f>
        <v/>
      </c>
      <c r="O62" s="99"/>
      <c r="P62" s="99"/>
      <c r="Q62" s="100"/>
      <c r="R62" s="38"/>
      <c r="S62" s="38"/>
      <c r="T62" s="38"/>
      <c r="U62" s="107" t="str">
        <f>IF([8]回答表!X44="●",[8]回答表!B115,IF([8]回答表!AA44="●",[8]回答表!B127,""))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IF([8]回答表!X44="●",[8]回答表!S121,IF([8]回答表!AA44="●",[8]回答表!S133,""))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IF([8]回答表!X44="●",[8]回答表!J121,IF([8]回答表!AA44="●",[8]回答表!J133,""))</f>
        <v/>
      </c>
      <c r="AN65" s="120"/>
      <c r="AO65" s="120"/>
      <c r="AP65" s="120"/>
      <c r="AQ65" s="120"/>
      <c r="AR65" s="120"/>
      <c r="AS65" s="120"/>
      <c r="AT65" s="121"/>
      <c r="AU65" s="119" t="str">
        <f>IF([8]回答表!X44="●",[8]回答表!J122,IF([8]回答表!AA44="●",[8]回答表!J134,""))</f>
        <v/>
      </c>
      <c r="AV65" s="120"/>
      <c r="AW65" s="120"/>
      <c r="AX65" s="120"/>
      <c r="AY65" s="120"/>
      <c r="AZ65" s="120"/>
      <c r="BA65" s="120"/>
      <c r="BB65" s="121"/>
      <c r="BC65" s="39"/>
      <c r="BD65" s="34"/>
      <c r="BE65" s="34"/>
      <c r="BF65" s="83" t="str">
        <f>IF([8]回答表!X44="●",[8]回答表!V121,IF([8]回答表!AA44="●",[8]回答表!V133,""))</f>
        <v/>
      </c>
      <c r="BG65" s="84"/>
      <c r="BH65" s="84"/>
      <c r="BI65" s="84"/>
      <c r="BJ65" s="83" t="str">
        <f>IF([8]回答表!X44="●",[8]回答表!V122,IF([8]回答表!AA44="●",[8]回答表!V134,""))</f>
        <v/>
      </c>
      <c r="BK65" s="84"/>
      <c r="BL65" s="84"/>
      <c r="BM65" s="84"/>
      <c r="BN65" s="83" t="str">
        <f>IF([8]回答表!X44="●",[8]回答表!V123,IF([8]回答表!AA44="●",[8]回答表!V135,""))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IF([8]回答表!AA44="●","●","")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IF([8]回答表!AD44="●","●","")</f>
        <v/>
      </c>
      <c r="O74" s="99"/>
      <c r="P74" s="99"/>
      <c r="Q74" s="100"/>
      <c r="R74" s="38"/>
      <c r="S74" s="38"/>
      <c r="T74" s="38"/>
      <c r="U74" s="107" t="str">
        <f>IF([8]回答表!AD44="●",[8]回答表!B140,"")</f>
        <v/>
      </c>
      <c r="V74" s="108"/>
      <c r="W74" s="108"/>
      <c r="X74" s="108"/>
      <c r="Y74" s="108"/>
      <c r="Z74" s="108"/>
      <c r="AA74" s="108"/>
      <c r="AB74" s="108"/>
      <c r="AC74" s="108"/>
      <c r="AD74" s="108"/>
      <c r="AE74" s="108"/>
      <c r="AF74" s="108"/>
      <c r="AG74" s="108"/>
      <c r="AH74" s="108"/>
      <c r="AI74" s="108"/>
      <c r="AJ74" s="109"/>
      <c r="AK74" s="55"/>
      <c r="AL74" s="55"/>
      <c r="AM74" s="107" t="str">
        <f>IF([8]回答表!AD44="●",[8]回答表!B146,"")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IF([8]回答表!F17="水道事業",IF([8]回答表!X45="●","●",""),"")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IF([8]回答表!F17="水道事業",IF([8]回答表!X45="●",[8]回答表!B158,IF([8]回答表!AA45="●",[8]回答表!B223,"")),"")</f>
        <v/>
      </c>
      <c r="AN86" s="212"/>
      <c r="AO86" s="212"/>
      <c r="AP86" s="212"/>
      <c r="AQ86" s="212"/>
      <c r="AR86" s="212"/>
      <c r="AS86" s="212"/>
      <c r="AT86" s="212"/>
      <c r="AU86" s="212"/>
      <c r="AV86" s="212"/>
      <c r="AW86" s="212"/>
      <c r="AX86" s="212"/>
      <c r="AY86" s="212"/>
      <c r="AZ86" s="212"/>
      <c r="BA86" s="212"/>
      <c r="BB86" s="212"/>
      <c r="BC86" s="213"/>
      <c r="BD86" s="34"/>
      <c r="BE86" s="34"/>
      <c r="BF86" s="116" t="str">
        <f>IF([8]回答表!F17="水道事業",IF([8]回答表!X45="●",[8]回答表!B212,IF([8]回答表!AA45="●",[8]回答表!B278,"")),"")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IF([8]回答表!F17="水道事業",IF([8]回答表!X45="●",[8]回答表!J166,IF([8]回答表!AA45="●",[8]回答表!J231,"")),"")</f>
        <v/>
      </c>
      <c r="V88" s="120"/>
      <c r="W88" s="120"/>
      <c r="X88" s="120"/>
      <c r="Y88" s="120"/>
      <c r="Z88" s="120"/>
      <c r="AA88" s="120"/>
      <c r="AB88" s="121"/>
      <c r="AC88" s="119" t="str">
        <f>IF([8]回答表!F17="水道事業",IF([8]回答表!X45="●",[8]回答表!J173,IF([8]回答表!AA45="●",[8]回答表!J238,"")),"")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IF([8]回答表!F17="水道事業",IF([8]回答表!X45="●",[8]回答表!E212,IF([8]回答表!AA45="●",[8]回答表!E278,"")),"")</f>
        <v/>
      </c>
      <c r="BG89" s="84"/>
      <c r="BH89" s="84"/>
      <c r="BI89" s="84"/>
      <c r="BJ89" s="83" t="str">
        <f>IF([8]回答表!F17="水道事業",IF([8]回答表!X45="●",[8]回答表!E213,IF([8]回答表!AA45="●",[8]回答表!E279,"")),"")</f>
        <v/>
      </c>
      <c r="BK89" s="84"/>
      <c r="BL89" s="84"/>
      <c r="BM89" s="84"/>
      <c r="BN89" s="83" t="str">
        <f>IF([8]回答表!F17="水道事業",IF([8]回答表!X45="●",[8]回答表!E214,IF([8]回答表!AA45="●",[8]回答表!E280,"")),"")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IF([8]回答表!F17="水道事業",IF([8]回答表!AA45="●","●",""),"")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IF([8]回答表!F17="水道事業",IF([8]回答表!X45="●",[8]回答表!J176,IF([8]回答表!AA45="●",[8]回答表!J241,"")),"")</f>
        <v/>
      </c>
      <c r="V93" s="120"/>
      <c r="W93" s="120"/>
      <c r="X93" s="120"/>
      <c r="Y93" s="120"/>
      <c r="Z93" s="120"/>
      <c r="AA93" s="120"/>
      <c r="AB93" s="121"/>
      <c r="AC93" s="119" t="str">
        <f>IF([8]回答表!F17="水道事業",IF([8]回答表!X45="●",[8]回答表!J180,IF([8]回答表!AA45="●",[8]回答表!J245,"")),"")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IF([8]回答表!F17="水道事業",IF([8]回答表!AD45="○","○",""),"")</f>
        <v/>
      </c>
      <c r="O98" s="99"/>
      <c r="P98" s="99"/>
      <c r="Q98" s="100"/>
      <c r="R98" s="38"/>
      <c r="S98" s="38"/>
      <c r="T98" s="38"/>
      <c r="U98" s="107" t="str">
        <f>IF([8]回答表!F17="水道事業",IF([8]回答表!AD45="●",[8]回答表!B289,""),"")</f>
        <v/>
      </c>
      <c r="V98" s="108"/>
      <c r="W98" s="108"/>
      <c r="X98" s="108"/>
      <c r="Y98" s="108"/>
      <c r="Z98" s="108"/>
      <c r="AA98" s="108"/>
      <c r="AB98" s="108"/>
      <c r="AC98" s="108"/>
      <c r="AD98" s="108"/>
      <c r="AE98" s="108"/>
      <c r="AF98" s="108"/>
      <c r="AG98" s="108"/>
      <c r="AH98" s="108"/>
      <c r="AI98" s="108"/>
      <c r="AJ98" s="109"/>
      <c r="AK98" s="55"/>
      <c r="AL98" s="55"/>
      <c r="AM98" s="107" t="str">
        <f>IF([8]回答表!F17="水道事業",IF([8]回答表!AD45="●",[8]回答表!B295,""),"")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IF([8]回答表!F17="簡易水道事業",IF([8]回答表!X45="●",[8]回答表!B158,IF([8]回答表!AA45="●",[8]回答表!B223,"")),"")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IF([8]回答表!F17="簡易水道事業",IF([8]回答表!X45="●",[8]回答表!B212,IF([8]回答表!AA45="●",[8]回答表!B278,"")),"")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IF([8]回答表!F17="簡易水道事業",IF([8]回答表!X45="●","●",""),"")</f>
        <v/>
      </c>
      <c r="O112" s="99"/>
      <c r="P112" s="99"/>
      <c r="Q112" s="100"/>
      <c r="R112" s="38"/>
      <c r="S112" s="38"/>
      <c r="T112" s="38"/>
      <c r="U112" s="119" t="str">
        <f>IF([8]回答表!F17="簡易水道事業",IF([8]回答表!X45="●",[8]回答表!Y185,IF([8]回答表!AA45="●",[8]回答表!Y251,"")),"")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IF([8]回答表!F17="簡易水道事業",IF([8]回答表!X45="●",[8]回答表!E212,IF([8]回答表!AA45="●",[8]回答表!E278,"")),"")</f>
        <v/>
      </c>
      <c r="BG113" s="84"/>
      <c r="BH113" s="84"/>
      <c r="BI113" s="84"/>
      <c r="BJ113" s="83" t="str">
        <f>IF([8]回答表!F17="簡易水道事業",IF([8]回答表!X45="●",[8]回答表!E213,IF([8]回答表!AA45="●",[8]回答表!E279,"")),"")</f>
        <v/>
      </c>
      <c r="BK113" s="84"/>
      <c r="BL113" s="84"/>
      <c r="BM113" s="84"/>
      <c r="BN113" s="83" t="str">
        <f>IF([8]回答表!F17="簡易水道事業",IF([8]回答表!X45="●",[8]回答表!E214,IF([8]回答表!AA45="●",[8]回答表!E280,"")),"")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IF([8]回答表!F17="簡易水道事業",IF([8]回答表!X45="●",[8]回答表!Y186,IF([8]回答表!AA45="●",[8]回答表!Y252,"")),"")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IF([8]回答表!F17="簡易水道事業",IF([8]回答表!AA45="●","●",""),"")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IF([8]回答表!F17="簡易水道事業",IF([8]回答表!X45="●",[8]回答表!Y187,IF([8]回答表!AA45="●",[8]回答表!Y253,"")),"")</f>
        <v/>
      </c>
      <c r="V122" s="120"/>
      <c r="W122" s="120"/>
      <c r="X122" s="120"/>
      <c r="Y122" s="120"/>
      <c r="Z122" s="120"/>
      <c r="AA122" s="120"/>
      <c r="AB122" s="120"/>
      <c r="AC122" s="120"/>
      <c r="AD122" s="120"/>
      <c r="AE122" s="120"/>
      <c r="AF122" s="120"/>
      <c r="AG122" s="120"/>
      <c r="AH122" s="120"/>
      <c r="AI122" s="120"/>
      <c r="AJ122" s="121"/>
      <c r="AK122" s="18"/>
      <c r="AL122" s="18"/>
      <c r="AM122" s="228" t="str">
        <f>IF([8]回答表!F17="簡易水道事業",IF([8]回答表!X45="●",[8]回答表!Y189,IF([8]回答表!AA45="●",[8]回答表!Y255,"")),"")</f>
        <v/>
      </c>
      <c r="AN122" s="228"/>
      <c r="AO122" s="228"/>
      <c r="AP122" s="228"/>
      <c r="AQ122" s="228"/>
      <c r="AR122" s="228"/>
      <c r="AS122" s="228" t="str">
        <f>IF([8]回答表!F17="簡易水道事業",IF([8]回答表!X45="●",[8]回答表!Y190,IF([8]回答表!AA45="●",[8]回答表!Y256,"")),"")</f>
        <v/>
      </c>
      <c r="AT122" s="228"/>
      <c r="AU122" s="228"/>
      <c r="AV122" s="228"/>
      <c r="AW122" s="228"/>
      <c r="AX122" s="228"/>
      <c r="AY122" s="228" t="str">
        <f>IF([8]回答表!F17="簡易水道事業",IF([8]回答表!X45="●",[8]回答表!Y191,IF([8]回答表!AA45="●",[8]回答表!Y257,"")),"")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IF([8]回答表!F17="簡易水道事業",IF([8]回答表!AD45="●","●",""),"")</f>
        <v/>
      </c>
      <c r="O127" s="99"/>
      <c r="P127" s="99"/>
      <c r="Q127" s="100"/>
      <c r="R127" s="38"/>
      <c r="S127" s="38"/>
      <c r="T127" s="38"/>
      <c r="U127" s="107" t="str">
        <f>IF([8]回答表!F17="簡易水道事業",IF([8]回答表!AD45="●",[8]回答表!B289,""),"")</f>
        <v/>
      </c>
      <c r="V127" s="108"/>
      <c r="W127" s="108"/>
      <c r="X127" s="108"/>
      <c r="Y127" s="108"/>
      <c r="Z127" s="108"/>
      <c r="AA127" s="108"/>
      <c r="AB127" s="108"/>
      <c r="AC127" s="108"/>
      <c r="AD127" s="108"/>
      <c r="AE127" s="108"/>
      <c r="AF127" s="108"/>
      <c r="AG127" s="108"/>
      <c r="AH127" s="108"/>
      <c r="AI127" s="108"/>
      <c r="AJ127" s="109"/>
      <c r="AK127" s="55"/>
      <c r="AL127" s="55"/>
      <c r="AM127" s="107" t="str">
        <f>IF([8]回答表!F17="簡易水道事業",IF([8]回答表!AD45="●",[8]回答表!B295,""),"")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IF([8]回答表!F17="下水道事業",IF([8]回答表!X45="●","●",""),"")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IF([8]回答表!F17="下水道事業",IF([8]回答表!X45="●",[8]回答表!B158,IF([8]回答表!AA45="●",[8]回答表!B223,"")),"")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IF([8]回答表!F17="下水道事業",IF([8]回答表!X45="●",[8]回答表!B212,IF([8]回答表!AA45="●",[8]回答表!B278,"")),"")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IF([8]回答表!F17="下水道事業",IF([8]回答表!X45="●",[8]回答表!Y193,IF([8]回答表!AA45="●",[8]回答表!Y259,"")),"")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IF([8]回答表!F17="下水道事業",IF([8]回答表!X45="●",[8]回答表!E212,IF([8]回答表!AA45="●",[8]回答表!E278,"")),"")</f>
        <v/>
      </c>
      <c r="BG142" s="84"/>
      <c r="BH142" s="84"/>
      <c r="BI142" s="84"/>
      <c r="BJ142" s="83" t="str">
        <f>IF([8]回答表!F17="下水道事業",IF([8]回答表!X45="●",[8]回答表!E213,IF([8]回答表!AA45="●",[8]回答表!E279,"")),"")</f>
        <v/>
      </c>
      <c r="BK142" s="84"/>
      <c r="BL142" s="84"/>
      <c r="BM142" s="84"/>
      <c r="BN142" s="83" t="str">
        <f>IF([8]回答表!F17="下水道事業",IF([8]回答表!X45="●",[8]回答表!E214,IF([8]回答表!AA45="●",[8]回答表!E280,"")),"")</f>
        <v/>
      </c>
      <c r="BO142" s="84"/>
      <c r="BP142" s="84"/>
      <c r="BQ142" s="87"/>
      <c r="BR142" s="37"/>
      <c r="BX142" s="211" t="str">
        <f>IF([8]回答表!AQ20="下水道事業",IF([8]回答表!BI48="○",[8]回答表!AM161,IF([8]回答表!BL48="○",[8]回答表!AM226,"")),"")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IF([8]回答表!F17="下水道事業",IF([8]回答表!X45="●",[8]回答表!Y195,IF([8]回答表!AA45="●",[8]回答表!Y261,"")),"")</f>
        <v/>
      </c>
      <c r="V147" s="120"/>
      <c r="W147" s="120"/>
      <c r="X147" s="120"/>
      <c r="Y147" s="120"/>
      <c r="Z147" s="120"/>
      <c r="AA147" s="120"/>
      <c r="AB147" s="121"/>
      <c r="AC147" s="119" t="str">
        <f>IF([8]回答表!F17="下水道事業",IF([8]回答表!X45="●",[8]回答表!Y196,IF([8]回答表!AA45="●",[8]回答表!Y262,"")),"")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IF([8]回答表!F17="下水道事業",IF([8]回答表!X45="●",[8]回答表!Y198,IF([8]回答表!AA45="●",[8]回答表!Y264,"")),"")</f>
        <v/>
      </c>
      <c r="V153" s="120"/>
      <c r="W153" s="120"/>
      <c r="X153" s="120"/>
      <c r="Y153" s="120"/>
      <c r="Z153" s="120"/>
      <c r="AA153" s="120"/>
      <c r="AB153" s="121"/>
      <c r="AC153" s="119" t="str">
        <f>IF([8]回答表!F17="下水道事業",IF([8]回答表!X45="●",[8]回答表!Y199,IF([8]回答表!AA45="●",[8]回答表!Y265,"")),"")</f>
        <v/>
      </c>
      <c r="AD153" s="120"/>
      <c r="AE153" s="120"/>
      <c r="AF153" s="120"/>
      <c r="AG153" s="120"/>
      <c r="AH153" s="120"/>
      <c r="AI153" s="120"/>
      <c r="AJ153" s="121"/>
      <c r="AK153" s="119" t="str">
        <f>IF([8]回答表!F17="下水道事業",IF([8]回答表!X45="●",[8]回答表!Y200,IF([8]回答表!AA45="●",[8]回答表!Y266,"")),"")</f>
        <v/>
      </c>
      <c r="AL153" s="120"/>
      <c r="AM153" s="120"/>
      <c r="AN153" s="120"/>
      <c r="AO153" s="120"/>
      <c r="AP153" s="120"/>
      <c r="AQ153" s="120"/>
      <c r="AR153" s="121"/>
      <c r="AS153" s="119" t="str">
        <f>IF([8]回答表!F17="下水道事業",IF([8]回答表!X45="●",[8]回答表!Y201,IF([8]回答表!AA45="●",[8]回答表!Y267,"")),"")</f>
        <v/>
      </c>
      <c r="AT153" s="120"/>
      <c r="AU153" s="120"/>
      <c r="AV153" s="120"/>
      <c r="AW153" s="120"/>
      <c r="AX153" s="120"/>
      <c r="AY153" s="120"/>
      <c r="AZ153" s="121"/>
      <c r="BA153" s="119" t="str">
        <f>IF([8]回答表!F17="下水道事業",IF([8]回答表!X45="●",[8]回答表!Y202,IF([8]回答表!AA45="●",[8]回答表!Y268,"")),"")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IF([8]回答表!F17="下水道事業",IF([8]回答表!AA45="●","●",""),"")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IF([8]回答表!F17="下水道事業",IF([8]回答表!X45="●",[8]回答表!Y207,IF([8]回答表!AA45="●",[8]回答表!Y273,"")),"")</f>
        <v/>
      </c>
      <c r="V159" s="120"/>
      <c r="W159" s="120"/>
      <c r="X159" s="120"/>
      <c r="Y159" s="120"/>
      <c r="Z159" s="120"/>
      <c r="AA159" s="120"/>
      <c r="AB159" s="121"/>
      <c r="AC159" s="119" t="str">
        <f>IF([8]回答表!F17="下水道事業",IF([8]回答表!X45="●",[8]回答表!Y208,IF([8]回答表!AA45="●",[8]回答表!Y274,"")),"")</f>
        <v/>
      </c>
      <c r="AD159" s="120"/>
      <c r="AE159" s="120"/>
      <c r="AF159" s="120"/>
      <c r="AG159" s="120"/>
      <c r="AH159" s="120"/>
      <c r="AI159" s="120"/>
      <c r="AJ159" s="121"/>
      <c r="AK159" s="119" t="str">
        <f>IF([8]回答表!F17="下水道事業",IF([8]回答表!X45="●",[8]回答表!Y209,IF([8]回答表!AA45="●",[8]回答表!Y275,"")),"")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IF([8]回答表!F17="下水道事業",IF([8]回答表!AD45="●","●",""),"")</f>
        <v/>
      </c>
      <c r="O164" s="99"/>
      <c r="P164" s="99"/>
      <c r="Q164" s="100"/>
      <c r="R164" s="38"/>
      <c r="S164" s="38"/>
      <c r="T164" s="38"/>
      <c r="U164" s="107" t="str">
        <f>IF([8]回答表!F17="下水道事業",IF([8]回答表!AD45="●",[8]回答表!B289,""),"")</f>
        <v/>
      </c>
      <c r="V164" s="108"/>
      <c r="W164" s="108"/>
      <c r="X164" s="108"/>
      <c r="Y164" s="108"/>
      <c r="Z164" s="108"/>
      <c r="AA164" s="108"/>
      <c r="AB164" s="108"/>
      <c r="AC164" s="108"/>
      <c r="AD164" s="108"/>
      <c r="AE164" s="108"/>
      <c r="AF164" s="108"/>
      <c r="AG164" s="108"/>
      <c r="AH164" s="108"/>
      <c r="AI164" s="108"/>
      <c r="AJ164" s="109"/>
      <c r="AK164" s="55"/>
      <c r="AL164" s="55"/>
      <c r="AM164" s="107" t="str">
        <f>IF([8]回答表!F17="下水道事業",IF([8]回答表!AD45="●",[8]回答表!B295,""),"")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IF([8]回答表!BD17="●",IF([8]回答表!X45="●","●",""),"")</f>
        <v/>
      </c>
      <c r="O176" s="99"/>
      <c r="P176" s="99"/>
      <c r="Q176" s="100"/>
      <c r="R176" s="38"/>
      <c r="S176" s="38"/>
      <c r="T176" s="38"/>
      <c r="U176" s="107" t="str">
        <f>IF([8]回答表!BD17="●",IF([8]回答表!X45="●",[8]回答表!B158,IF([8]回答表!AA45="●",[8]回答表!B223,"")),"")</f>
        <v/>
      </c>
      <c r="V176" s="108"/>
      <c r="W176" s="108"/>
      <c r="X176" s="108"/>
      <c r="Y176" s="108"/>
      <c r="Z176" s="108"/>
      <c r="AA176" s="108"/>
      <c r="AB176" s="108"/>
      <c r="AC176" s="108"/>
      <c r="AD176" s="108"/>
      <c r="AE176" s="108"/>
      <c r="AF176" s="108"/>
      <c r="AG176" s="108"/>
      <c r="AH176" s="108"/>
      <c r="AI176" s="108"/>
      <c r="AJ176" s="109"/>
      <c r="AK176" s="49"/>
      <c r="AL176" s="49"/>
      <c r="AM176" s="116" t="str">
        <f>IF([8]回答表!BD17="●",IF([8]回答表!X45="●",[8]回答表!B212,IF([8]回答表!AA45="●",[8]回答表!B278,"")),"")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IF([8]回答表!BD17="●",IF([8]回答表!X45="●",[8]回答表!E212,IF([8]回答表!AA45="●",[8]回答表!E278,"")),"")</f>
        <v/>
      </c>
      <c r="AN179" s="84"/>
      <c r="AO179" s="84"/>
      <c r="AP179" s="84"/>
      <c r="AQ179" s="83" t="str">
        <f>IF([8]回答表!BD17="●",IF([8]回答表!X45="●",[8]回答表!E213,IF([8]回答表!AA45="●",[8]回答表!E279,"")),"")</f>
        <v/>
      </c>
      <c r="AR179" s="84"/>
      <c r="AS179" s="84"/>
      <c r="AT179" s="84"/>
      <c r="AU179" s="83" t="str">
        <f>IF([8]回答表!BD17="●",IF([8]回答表!X45="●",[8]回答表!E214,IF([8]回答表!AA45="●",[8]回答表!E280,"")),"")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IF([8]回答表!BD17="●",IF([8]回答表!AA45="●","●",""),"")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IF([8]回答表!BD17="●",IF([8]回答表!AD45="●","●",""),"")</f>
        <v/>
      </c>
      <c r="O188" s="99"/>
      <c r="P188" s="99"/>
      <c r="Q188" s="100"/>
      <c r="R188" s="38"/>
      <c r="S188" s="38"/>
      <c r="T188" s="38"/>
      <c r="U188" s="107" t="str">
        <f>IF([8]回答表!BD17="●",IF([8]回答表!AD45="●",[8]回答表!B289,""),"")</f>
        <v/>
      </c>
      <c r="V188" s="108"/>
      <c r="W188" s="108"/>
      <c r="X188" s="108"/>
      <c r="Y188" s="108"/>
      <c r="Z188" s="108"/>
      <c r="AA188" s="108"/>
      <c r="AB188" s="108"/>
      <c r="AC188" s="108"/>
      <c r="AD188" s="108"/>
      <c r="AE188" s="108"/>
      <c r="AF188" s="108"/>
      <c r="AG188" s="108"/>
      <c r="AH188" s="108"/>
      <c r="AI188" s="108"/>
      <c r="AJ188" s="109"/>
      <c r="AK188" s="55"/>
      <c r="AL188" s="55"/>
      <c r="AM188" s="107" t="str">
        <f>IF([8]回答表!BD17="●",IF([8]回答表!AD45="●",[8]回答表!B295,""),"")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IF([8]回答表!X46="●","●","")</f>
        <v/>
      </c>
      <c r="O200" s="99"/>
      <c r="P200" s="99"/>
      <c r="Q200" s="100"/>
      <c r="R200" s="38"/>
      <c r="S200" s="38"/>
      <c r="T200" s="38"/>
      <c r="U200" s="107" t="str">
        <f>IF([8]回答表!X46="●",[8]回答表!B307,IF([8]回答表!AA46="●",[8]回答表!B324,""))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IF([8]回答表!X46="●",[8]回答表!U313,IF([8]回答表!AA46="●",[8]回答表!U330,""))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IF([8]回答表!X46="●",[8]回答表!G313,IF([8]回答表!AA46="●",[8]回答表!G330,""))</f>
        <v/>
      </c>
      <c r="AN203" s="120"/>
      <c r="AO203" s="120"/>
      <c r="AP203" s="120"/>
      <c r="AQ203" s="120"/>
      <c r="AR203" s="120"/>
      <c r="AS203" s="120"/>
      <c r="AT203" s="121"/>
      <c r="AU203" s="119" t="str">
        <f>IF([8]回答表!X46="●",[8]回答表!G314,IF([8]回答表!AA46="●",[8]回答表!G331,""))</f>
        <v/>
      </c>
      <c r="AV203" s="120"/>
      <c r="AW203" s="120"/>
      <c r="AX203" s="120"/>
      <c r="AY203" s="120"/>
      <c r="AZ203" s="120"/>
      <c r="BA203" s="120"/>
      <c r="BB203" s="121"/>
      <c r="BC203" s="39"/>
      <c r="BD203" s="34"/>
      <c r="BE203" s="34"/>
      <c r="BF203" s="83" t="str">
        <f>IF([8]回答表!X46="●",[8]回答表!X313,IF([8]回答表!AA46="●",[8]回答表!X330,""))</f>
        <v/>
      </c>
      <c r="BG203" s="84"/>
      <c r="BH203" s="84"/>
      <c r="BI203" s="84"/>
      <c r="BJ203" s="83" t="str">
        <f>IF([8]回答表!X46="●",[8]回答表!X314,IF([8]回答表!AA46="●",[8]回答表!X331,""))</f>
        <v/>
      </c>
      <c r="BK203" s="84"/>
      <c r="BL203" s="84"/>
      <c r="BM203" s="87"/>
      <c r="BN203" s="83" t="str">
        <f>IF([8]回答表!X46="●",[8]回答表!X315,IF([8]回答表!AA46="●",[8]回答表!X332,""))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IF([8]回答表!AA46="●","●","")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IF([8]回答表!AD46="●","●","")</f>
        <v/>
      </c>
      <c r="O212" s="99"/>
      <c r="P212" s="99"/>
      <c r="Q212" s="100"/>
      <c r="R212" s="38"/>
      <c r="S212" s="38"/>
      <c r="T212" s="38"/>
      <c r="U212" s="107" t="str">
        <f>IF([8]回答表!AD46="●",[8]回答表!B337,"")</f>
        <v/>
      </c>
      <c r="V212" s="108"/>
      <c r="W212" s="108"/>
      <c r="X212" s="108"/>
      <c r="Y212" s="108"/>
      <c r="Z212" s="108"/>
      <c r="AA212" s="108"/>
      <c r="AB212" s="108"/>
      <c r="AC212" s="108"/>
      <c r="AD212" s="108"/>
      <c r="AE212" s="108"/>
      <c r="AF212" s="108"/>
      <c r="AG212" s="108"/>
      <c r="AH212" s="108"/>
      <c r="AI212" s="108"/>
      <c r="AJ212" s="109"/>
      <c r="AK212" s="62"/>
      <c r="AL212" s="62"/>
      <c r="AM212" s="107" t="str">
        <f>IF([8]回答表!AD46="●",[8]回答表!B343,"")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IF([8]回答表!X47="●","●","")</f>
        <v/>
      </c>
      <c r="O224" s="99"/>
      <c r="P224" s="99"/>
      <c r="Q224" s="100"/>
      <c r="R224" s="38"/>
      <c r="S224" s="38"/>
      <c r="T224" s="38"/>
      <c r="U224" s="107" t="str">
        <f>IF([8]回答表!X47="●",[8]回答表!B356,IF([8]回答表!AA47="●",[8]回答表!B379,""))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IF([8]回答表!X47="●",[8]回答表!B362,"")</f>
        <v/>
      </c>
      <c r="AO224" s="182"/>
      <c r="AP224" s="182"/>
      <c r="AQ224" s="182"/>
      <c r="AR224" s="182"/>
      <c r="AS224" s="182"/>
      <c r="AT224" s="182"/>
      <c r="AU224" s="182"/>
      <c r="AV224" s="182"/>
      <c r="AW224" s="182"/>
      <c r="AX224" s="182"/>
      <c r="AY224" s="182"/>
      <c r="AZ224" s="182"/>
      <c r="BA224" s="182"/>
      <c r="BB224" s="183"/>
      <c r="BC224" s="39"/>
      <c r="BD224" s="34"/>
      <c r="BE224" s="34"/>
      <c r="BF224" s="116" t="str">
        <f>IF([8]回答表!X47="●",[8]回答表!B368,IF([8]回答表!AA47="●",[8]回答表!B385,""))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IF([8]回答表!X47="●",[8]回答表!E368,IF([8]回答表!AA47="●",[8]回答表!E385,""))</f>
        <v/>
      </c>
      <c r="BG227" s="84"/>
      <c r="BH227" s="84"/>
      <c r="BI227" s="84"/>
      <c r="BJ227" s="83" t="str">
        <f>IF([8]回答表!X47="●",[8]回答表!E369,IF([8]回答表!AA47="●",[8]回答表!E386,""))</f>
        <v/>
      </c>
      <c r="BK227" s="84"/>
      <c r="BL227" s="84"/>
      <c r="BM227" s="87"/>
      <c r="BN227" s="83" t="str">
        <f>IF([8]回答表!X47="●",[8]回答表!E370,IF([8]回答表!AA47="●",[8]回答表!E387,""))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IF([8]回答表!AA47="●","●","")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IF([8]回答表!AD47="●","●","")</f>
        <v/>
      </c>
      <c r="O236" s="99"/>
      <c r="P236" s="99"/>
      <c r="Q236" s="100"/>
      <c r="R236" s="38"/>
      <c r="S236" s="38"/>
      <c r="T236" s="38"/>
      <c r="U236" s="107" t="str">
        <f>IF([8]回答表!AD47="●",[8]回答表!B392,"")</f>
        <v/>
      </c>
      <c r="V236" s="108"/>
      <c r="W236" s="108"/>
      <c r="X236" s="108"/>
      <c r="Y236" s="108"/>
      <c r="Z236" s="108"/>
      <c r="AA236" s="108"/>
      <c r="AB236" s="108"/>
      <c r="AC236" s="108"/>
      <c r="AD236" s="108"/>
      <c r="AE236" s="108"/>
      <c r="AF236" s="108"/>
      <c r="AG236" s="108"/>
      <c r="AH236" s="108"/>
      <c r="AI236" s="108"/>
      <c r="AJ236" s="109"/>
      <c r="AK236" s="62"/>
      <c r="AL236" s="62"/>
      <c r="AM236" s="107" t="str">
        <f>IF([8]回答表!AD47="●",[8]回答表!B398,"")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IF([8]回答表!X48="●","●","")</f>
        <v/>
      </c>
      <c r="O248" s="99"/>
      <c r="P248" s="99"/>
      <c r="Q248" s="100"/>
      <c r="R248" s="38"/>
      <c r="S248" s="38"/>
      <c r="T248" s="38"/>
      <c r="U248" s="107" t="str">
        <f>IF([8]回答表!X48="●",[8]回答表!B411,IF([8]回答表!AA48="●",[8]回答表!B425,""))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IF([8]回答表!X48="●",[8]回答表!BC418,IF([8]回答表!AA48="●",[8]回答表!BC432,""))</f>
        <v/>
      </c>
      <c r="AR248" s="151"/>
      <c r="AS248" s="151"/>
      <c r="AT248" s="151"/>
      <c r="AU248" s="173" t="s">
        <v>73</v>
      </c>
      <c r="AV248" s="174"/>
      <c r="AW248" s="174"/>
      <c r="AX248" s="175"/>
      <c r="AY248" s="151" t="str">
        <f>IF([8]回答表!X48="●",[8]回答表!BC423,IF([8]回答表!AA48="●",[8]回答表!BC437,""))</f>
        <v/>
      </c>
      <c r="AZ248" s="151"/>
      <c r="BA248" s="151"/>
      <c r="BB248" s="151"/>
      <c r="BC248" s="39"/>
      <c r="BD248" s="34"/>
      <c r="BE248" s="34"/>
      <c r="BF248" s="116" t="str">
        <f>IF([8]回答表!X48="●",[8]回答表!S417,IF([8]回答表!AA48="●",[8]回答表!S431,""))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IF([8]回答表!X48="●",[8]回答表!BC419,IF([8]回答表!AA48="●",[8]回答表!BC433,""))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IF([8]回答表!X48="●",[8]回答表!V417,IF([8]回答表!AA48="●",[8]回答表!V431,""))</f>
        <v/>
      </c>
      <c r="BG251" s="84"/>
      <c r="BH251" s="84"/>
      <c r="BI251" s="84"/>
      <c r="BJ251" s="83" t="str">
        <f>IF([8]回答表!X48="●",[8]回答表!V418,IF([8]回答表!AA48="●",[8]回答表!V432,""))</f>
        <v/>
      </c>
      <c r="BK251" s="84"/>
      <c r="BL251" s="84"/>
      <c r="BM251" s="87"/>
      <c r="BN251" s="83" t="str">
        <f>IF([8]回答表!X48="●",[8]回答表!V419,IF([8]回答表!AA48="●",[8]回答表!V433,""))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IF([8]回答表!X48="●",[8]回答表!BC420,IF([8]回答表!AA48="●",[8]回答表!BC434,""))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IF([8]回答表!X48="●",[8]回答表!BC424,IF([8]回答表!AA48="●",[8]回答表!BC438,""))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IF([8]回答表!AA48="●","●","")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IF([8]回答表!X48="●",[8]回答表!BC421,IF([8]回答表!AA48="●",[8]回答表!BC435,""))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IF([8]回答表!X48="●",[8]回答表!BC422,IF([8]回答表!AA48="●",[8]回答表!BC436,""))</f>
        <v/>
      </c>
      <c r="AR256" s="151"/>
      <c r="AS256" s="151"/>
      <c r="AT256" s="151"/>
      <c r="AU256" s="152" t="s">
        <v>79</v>
      </c>
      <c r="AV256" s="153"/>
      <c r="AW256" s="153"/>
      <c r="AX256" s="154"/>
      <c r="AY256" s="158" t="str">
        <f>IF([8]回答表!X48="●",[8]回答表!BC425,IF([8]回答表!AA48="●",[8]回答表!BC439,""))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IF([8]回答表!AD48="●","●","")</f>
        <v/>
      </c>
      <c r="O260" s="99"/>
      <c r="P260" s="99"/>
      <c r="Q260" s="100"/>
      <c r="R260" s="38"/>
      <c r="S260" s="38"/>
      <c r="T260" s="38"/>
      <c r="U260" s="107" t="str">
        <f>IF([8]回答表!AD48="●",[8]回答表!B439,"")</f>
        <v/>
      </c>
      <c r="V260" s="108"/>
      <c r="W260" s="108"/>
      <c r="X260" s="108"/>
      <c r="Y260" s="108"/>
      <c r="Z260" s="108"/>
      <c r="AA260" s="108"/>
      <c r="AB260" s="108"/>
      <c r="AC260" s="108"/>
      <c r="AD260" s="108"/>
      <c r="AE260" s="108"/>
      <c r="AF260" s="108"/>
      <c r="AG260" s="108"/>
      <c r="AH260" s="108"/>
      <c r="AI260" s="108"/>
      <c r="AJ260" s="109"/>
      <c r="AK260" s="55"/>
      <c r="AL260" s="55"/>
      <c r="AM260" s="107" t="str">
        <f>IF([8]回答表!AD48="●",[8]回答表!B445,"")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IF([8]回答表!X49="●","●","")</f>
        <v/>
      </c>
      <c r="O271" s="99"/>
      <c r="P271" s="99"/>
      <c r="Q271" s="100"/>
      <c r="R271" s="38"/>
      <c r="S271" s="38"/>
      <c r="T271" s="38"/>
      <c r="U271" s="107" t="str">
        <f>IF([8]回答表!X49="●",[8]回答表!B458,IF([8]回答表!AA49="●",[8]回答表!B475,""))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IF([8]回答表!X49="●",[8]回答表!B468,IF([8]回答表!AA49="●",[8]回答表!B485,""))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IF([8]回答表!X49="●",[8]回答表!G464,IF([8]回答表!AA49="●",[8]回答表!G481,""))</f>
        <v/>
      </c>
      <c r="AN273" s="120"/>
      <c r="AO273" s="120"/>
      <c r="AP273" s="120"/>
      <c r="AQ273" s="120"/>
      <c r="AR273" s="120"/>
      <c r="AS273" s="120"/>
      <c r="AT273" s="121"/>
      <c r="AU273" s="119" t="str">
        <f>IF([8]回答表!X49="●",[8]回答表!G465,IF([8]回答表!AA49="●",[8]回答表!G482,""))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IF([8]回答表!X49="●",[8]回答表!E468,IF([8]回答表!AA49="●",[8]回答表!E485,""))</f>
        <v/>
      </c>
      <c r="BG274" s="84"/>
      <c r="BH274" s="84"/>
      <c r="BI274" s="84"/>
      <c r="BJ274" s="83" t="str">
        <f>IF([8]回答表!X49="●",[8]回答表!E469,IF([8]回答表!AA49="●",[8]回答表!E486,""))</f>
        <v/>
      </c>
      <c r="BK274" s="84"/>
      <c r="BL274" s="84"/>
      <c r="BM274" s="87"/>
      <c r="BN274" s="83" t="str">
        <f>IF([8]回答表!X49="●",[8]回答表!E470,IF([8]回答表!AA49="●",[8]回答表!E487,""))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IF([8]回答表!AA49="●","●","")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IF([8]回答表!AD49="●","●","")</f>
        <v/>
      </c>
      <c r="O283" s="99"/>
      <c r="P283" s="99"/>
      <c r="Q283" s="100"/>
      <c r="R283" s="38"/>
      <c r="S283" s="38"/>
      <c r="T283" s="38"/>
      <c r="U283" s="107" t="str">
        <f>IF([8]回答表!AD49="●",[8]回答表!B492,"")</f>
        <v/>
      </c>
      <c r="V283" s="108"/>
      <c r="W283" s="108"/>
      <c r="X283" s="108"/>
      <c r="Y283" s="108"/>
      <c r="Z283" s="108"/>
      <c r="AA283" s="108"/>
      <c r="AB283" s="108"/>
      <c r="AC283" s="108"/>
      <c r="AD283" s="108"/>
      <c r="AE283" s="108"/>
      <c r="AF283" s="108"/>
      <c r="AG283" s="108"/>
      <c r="AH283" s="108"/>
      <c r="AI283" s="108"/>
      <c r="AJ283" s="109"/>
      <c r="AK283" s="49"/>
      <c r="AL283" s="49"/>
      <c r="AM283" s="107" t="str">
        <f>IF([8]回答表!AD49="●",[8]回答表!B498,"")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IF([8]回答表!R50="●",[8]回答表!B511,"")</f>
        <v>現行の経営体制・手法で、健全な事業運営が実施できている為である。
ただし、民間事業の経営手法やコスト比較など調査・研究を行い、事務及び事業の効率化と簡素に努めながら事業を実施する。また、指定管理制度の導入や施設及び事業の譲渡、一部業務の民間委託も検討していく。</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AD455-ACC8-42A9-A97A-E89DCDB01327}">
  <sheetPr>
    <pageSetUpPr fitToPage="1"/>
  </sheetPr>
  <dimension ref="A1:CN315"/>
  <sheetViews>
    <sheetView showZeros="0" view="pageBreakPreview" zoomScale="60" zoomScaleNormal="55" workbookViewId="0">
      <selection activeCell="AO44" sqref="AO44:BB44"/>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IF(COUNTIF([10]回答表!K15,"*")&gt;0,[10]回答表!K15,"")</f>
        <v>横手市</v>
      </c>
      <c r="D11" s="299"/>
      <c r="E11" s="299"/>
      <c r="F11" s="299"/>
      <c r="G11" s="299"/>
      <c r="H11" s="299"/>
      <c r="I11" s="299"/>
      <c r="J11" s="299"/>
      <c r="K11" s="299"/>
      <c r="L11" s="299"/>
      <c r="M11" s="299"/>
      <c r="N11" s="299"/>
      <c r="O11" s="299"/>
      <c r="P11" s="299"/>
      <c r="Q11" s="299"/>
      <c r="R11" s="299"/>
      <c r="S11" s="299"/>
      <c r="T11" s="299"/>
      <c r="U11" s="306" t="str">
        <f>IF(COUNTIF([10]回答表!F17,"*")&gt;0,[10]回答表!F17,"")</f>
        <v>簡易水道事業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IF(COUNTIF([10]回答表!W17,"*")&gt;0,[10]回答表!W17,"")</f>
        <v>―</v>
      </c>
      <c r="AP11" s="301"/>
      <c r="AQ11" s="301"/>
      <c r="AR11" s="301"/>
      <c r="AS11" s="301"/>
      <c r="AT11" s="301"/>
      <c r="AU11" s="301"/>
      <c r="AV11" s="301"/>
      <c r="AW11" s="301"/>
      <c r="AX11" s="301"/>
      <c r="AY11" s="301"/>
      <c r="AZ11" s="301"/>
      <c r="BA11" s="301"/>
      <c r="BB11" s="301"/>
      <c r="BC11" s="301"/>
      <c r="BD11" s="301"/>
      <c r="BE11" s="301"/>
      <c r="BF11" s="302"/>
      <c r="BG11" s="305" t="str">
        <f>IF(COUNTIF([10]回答表!F19,"*")&gt;0,[10]回答表!F19,"")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IF([10]回答表!R43="●","●","")</f>
        <v>●</v>
      </c>
      <c r="E24" s="123"/>
      <c r="F24" s="123"/>
      <c r="G24" s="123"/>
      <c r="H24" s="123"/>
      <c r="I24" s="123"/>
      <c r="J24" s="124"/>
      <c r="K24" s="122" t="str">
        <f>IF([10]回答表!R44="●","●","")</f>
        <v/>
      </c>
      <c r="L24" s="123"/>
      <c r="M24" s="123"/>
      <c r="N24" s="123"/>
      <c r="O24" s="123"/>
      <c r="P24" s="123"/>
      <c r="Q24" s="124"/>
      <c r="R24" s="122" t="str">
        <f>IF([10]回答表!R45="●","●","")</f>
        <v/>
      </c>
      <c r="S24" s="123"/>
      <c r="T24" s="123"/>
      <c r="U24" s="123"/>
      <c r="V24" s="123"/>
      <c r="W24" s="123"/>
      <c r="X24" s="124"/>
      <c r="Y24" s="122" t="str">
        <f>IF([10]回答表!R46="●","●","")</f>
        <v/>
      </c>
      <c r="Z24" s="123"/>
      <c r="AA24" s="123"/>
      <c r="AB24" s="123"/>
      <c r="AC24" s="123"/>
      <c r="AD24" s="123"/>
      <c r="AE24" s="124"/>
      <c r="AF24" s="122" t="str">
        <f>IF([10]回答表!R47="●","●","")</f>
        <v/>
      </c>
      <c r="AG24" s="123"/>
      <c r="AH24" s="123"/>
      <c r="AI24" s="123"/>
      <c r="AJ24" s="123"/>
      <c r="AK24" s="123"/>
      <c r="AL24" s="124"/>
      <c r="AM24" s="122" t="str">
        <f>IF([10]回答表!R48="●","●","")</f>
        <v/>
      </c>
      <c r="AN24" s="123"/>
      <c r="AO24" s="123"/>
      <c r="AP24" s="123"/>
      <c r="AQ24" s="123"/>
      <c r="AR24" s="123"/>
      <c r="AS24" s="124"/>
      <c r="AT24" s="122" t="str">
        <f>IF([10]回答表!R49="●","●","")</f>
        <v/>
      </c>
      <c r="AU24" s="123"/>
      <c r="AV24" s="123"/>
      <c r="AW24" s="123"/>
      <c r="AX24" s="123"/>
      <c r="AY24" s="123"/>
      <c r="AZ24" s="124"/>
      <c r="BA24" s="18"/>
      <c r="BB24" s="119" t="str">
        <f>IF([10]回答表!R50="●","●","")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IF([10]回答表!X43="●","●","")</f>
        <v>●</v>
      </c>
      <c r="O36" s="99"/>
      <c r="P36" s="99"/>
      <c r="Q36" s="100"/>
      <c r="R36" s="38"/>
      <c r="S36" s="38"/>
      <c r="T36" s="38"/>
      <c r="U36" s="107" t="str">
        <f>IF([10]回答表!X43="●",[10]回答表!B59,IF([10]回答表!AA43="●",[10]回答表!B79,""))</f>
        <v>20の法適簡易水道事業を廃止し、上水道事業に統合（認可）した。
今後は施設の統廃合により維持管理すべき施設数を削減し、維持管理の効率化を図る。</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IF([10]回答表!X43="●",[10]回答表!S65,IF([10]回答表!AA43="●",[10]回答表!S85,""))</f>
        <v>平成</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IF([10]回答表!X43="●",[10]回答表!G65,IF([10]回答表!AA43="●",[10]回答表!G85,""))</f>
        <v>●</v>
      </c>
      <c r="AN38" s="120"/>
      <c r="AO38" s="120"/>
      <c r="AP38" s="120"/>
      <c r="AQ38" s="120"/>
      <c r="AR38" s="120"/>
      <c r="AS38" s="120"/>
      <c r="AT38" s="121"/>
      <c r="AU38" s="119" t="str">
        <f>IF([10]回答表!X43="●",[10]回答表!G66,IF([10]回答表!AA43="●",[10]回答表!G86,""))</f>
        <v xml:space="preserve">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IF([10]回答表!X43="●",[10]回答表!V65,IF([10]回答表!AA43="●",[10]回答表!V85,""))</f>
        <v>29</v>
      </c>
      <c r="BG39" s="249"/>
      <c r="BH39" s="249"/>
      <c r="BI39" s="250"/>
      <c r="BJ39" s="83">
        <f>IF([10]回答表!X43="●",[10]回答表!V66,IF([10]回答表!AA43="●",[10]回答表!V86,""))</f>
        <v>4</v>
      </c>
      <c r="BK39" s="249"/>
      <c r="BL39" s="249"/>
      <c r="BM39" s="250"/>
      <c r="BN39" s="83">
        <f>IF([10]回答表!X43="●",[10]回答表!V67,IF([10]回答表!AA43="●",[10]回答表!V87,""))</f>
        <v>1</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IF([10]回答表!X43="●",[10]回答表!O71,IF([10]回答表!AA43="●",[10]回答表!O91,""))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IF([10]回答表!X43="●",[10]回答表!O72,IF([10]回答表!AA43="●",[10]回答表!O92,""))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IF([10]回答表!AA43="●","●","")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IF([10]回答表!X43="●",[10]回答表!O73,IF([10]回答表!AA43="●",[10]回答表!O93,""))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IF([10]回答表!X43="●",[10]回答表!O74,IF([10]回答表!AA43="●",[10]回答表!O94,""))</f>
        <v xml:space="preserve">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IF([10]回答表!X43="●",[10]回答表!AG71,IF([10]回答表!AA43="●",[10]回答表!AG91,""))</f>
        <v>●</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IF([10]回答表!X43="●",[10]回答表!AG72,IF([10]回答表!AA43="●",[10]回答表!AG92,""))</f>
        <v xml:space="preserve">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IF([10]回答表!AD43="●","●","")</f>
        <v/>
      </c>
      <c r="O51" s="99"/>
      <c r="P51" s="99"/>
      <c r="Q51" s="100"/>
      <c r="R51" s="38"/>
      <c r="S51" s="38"/>
      <c r="T51" s="38"/>
      <c r="U51" s="107" t="str">
        <f>IF([10]回答表!AD43="●",[10]回答表!B99,"")</f>
        <v/>
      </c>
      <c r="V51" s="108"/>
      <c r="W51" s="108"/>
      <c r="X51" s="108"/>
      <c r="Y51" s="108"/>
      <c r="Z51" s="108"/>
      <c r="AA51" s="108"/>
      <c r="AB51" s="108"/>
      <c r="AC51" s="108"/>
      <c r="AD51" s="108"/>
      <c r="AE51" s="108"/>
      <c r="AF51" s="108"/>
      <c r="AG51" s="108"/>
      <c r="AH51" s="108"/>
      <c r="AI51" s="108"/>
      <c r="AJ51" s="109"/>
      <c r="AK51" s="55"/>
      <c r="AL51" s="55"/>
      <c r="AM51" s="107" t="str">
        <f>IF([10]回答表!AD43="●",[10]回答表!B104,"")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IF([10]回答表!X44="●","●","")</f>
        <v/>
      </c>
      <c r="O62" s="99"/>
      <c r="P62" s="99"/>
      <c r="Q62" s="100"/>
      <c r="R62" s="38"/>
      <c r="S62" s="38"/>
      <c r="T62" s="38"/>
      <c r="U62" s="107" t="str">
        <f>IF([10]回答表!X44="●",[10]回答表!B115,IF([10]回答表!AA44="●",[10]回答表!B127,""))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IF([10]回答表!X44="●",[10]回答表!S121,IF([10]回答表!AA44="●",[10]回答表!S133,""))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IF([10]回答表!X44="●",[10]回答表!J121,IF([10]回答表!AA44="●",[10]回答表!J133,""))</f>
        <v/>
      </c>
      <c r="AN65" s="120"/>
      <c r="AO65" s="120"/>
      <c r="AP65" s="120"/>
      <c r="AQ65" s="120"/>
      <c r="AR65" s="120"/>
      <c r="AS65" s="120"/>
      <c r="AT65" s="121"/>
      <c r="AU65" s="119" t="str">
        <f>IF([10]回答表!X44="●",[10]回答表!J122,IF([10]回答表!AA44="●",[10]回答表!J134,""))</f>
        <v/>
      </c>
      <c r="AV65" s="120"/>
      <c r="AW65" s="120"/>
      <c r="AX65" s="120"/>
      <c r="AY65" s="120"/>
      <c r="AZ65" s="120"/>
      <c r="BA65" s="120"/>
      <c r="BB65" s="121"/>
      <c r="BC65" s="39"/>
      <c r="BD65" s="34"/>
      <c r="BE65" s="34"/>
      <c r="BF65" s="83" t="str">
        <f>IF([10]回答表!X44="●",[10]回答表!V121,IF([10]回答表!AA44="●",[10]回答表!V133,""))</f>
        <v/>
      </c>
      <c r="BG65" s="84"/>
      <c r="BH65" s="84"/>
      <c r="BI65" s="84"/>
      <c r="BJ65" s="83" t="str">
        <f>IF([10]回答表!X44="●",[10]回答表!V122,IF([10]回答表!AA44="●",[10]回答表!V134,""))</f>
        <v/>
      </c>
      <c r="BK65" s="84"/>
      <c r="BL65" s="84"/>
      <c r="BM65" s="84"/>
      <c r="BN65" s="83" t="str">
        <f>IF([10]回答表!X44="●",[10]回答表!V123,IF([10]回答表!AA44="●",[10]回答表!V135,""))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IF([10]回答表!AA44="●","●","")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IF([10]回答表!AD44="●","●","")</f>
        <v/>
      </c>
      <c r="O74" s="99"/>
      <c r="P74" s="99"/>
      <c r="Q74" s="100"/>
      <c r="R74" s="38"/>
      <c r="S74" s="38"/>
      <c r="T74" s="38"/>
      <c r="U74" s="107" t="str">
        <f>IF([10]回答表!AD44="●",[10]回答表!B140,"")</f>
        <v/>
      </c>
      <c r="V74" s="108"/>
      <c r="W74" s="108"/>
      <c r="X74" s="108"/>
      <c r="Y74" s="108"/>
      <c r="Z74" s="108"/>
      <c r="AA74" s="108"/>
      <c r="AB74" s="108"/>
      <c r="AC74" s="108"/>
      <c r="AD74" s="108"/>
      <c r="AE74" s="108"/>
      <c r="AF74" s="108"/>
      <c r="AG74" s="108"/>
      <c r="AH74" s="108"/>
      <c r="AI74" s="108"/>
      <c r="AJ74" s="109"/>
      <c r="AK74" s="55"/>
      <c r="AL74" s="55"/>
      <c r="AM74" s="107" t="str">
        <f>IF([10]回答表!AD44="●",[10]回答表!B146,"")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IF([10]回答表!F17="水道事業",IF([10]回答表!X45="●","●",""),"")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IF([10]回答表!F17="水道事業",IF([10]回答表!X45="●",[10]回答表!B158,IF([10]回答表!AA45="●",[10]回答表!B223,"")),"")</f>
        <v/>
      </c>
      <c r="AN86" s="212"/>
      <c r="AO86" s="212"/>
      <c r="AP86" s="212"/>
      <c r="AQ86" s="212"/>
      <c r="AR86" s="212"/>
      <c r="AS86" s="212"/>
      <c r="AT86" s="212"/>
      <c r="AU86" s="212"/>
      <c r="AV86" s="212"/>
      <c r="AW86" s="212"/>
      <c r="AX86" s="212"/>
      <c r="AY86" s="212"/>
      <c r="AZ86" s="212"/>
      <c r="BA86" s="212"/>
      <c r="BB86" s="212"/>
      <c r="BC86" s="213"/>
      <c r="BD86" s="34"/>
      <c r="BE86" s="34"/>
      <c r="BF86" s="116" t="str">
        <f>IF([10]回答表!F17="水道事業",IF([10]回答表!X45="●",[10]回答表!B212,IF([10]回答表!AA45="●",[10]回答表!B278,"")),"")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IF([10]回答表!F17="水道事業",IF([10]回答表!X45="●",[10]回答表!J166,IF([10]回答表!AA45="●",[10]回答表!J231,"")),"")</f>
        <v/>
      </c>
      <c r="V88" s="120"/>
      <c r="W88" s="120"/>
      <c r="X88" s="120"/>
      <c r="Y88" s="120"/>
      <c r="Z88" s="120"/>
      <c r="AA88" s="120"/>
      <c r="AB88" s="121"/>
      <c r="AC88" s="119" t="str">
        <f>IF([10]回答表!F17="水道事業",IF([10]回答表!X45="●",[10]回答表!J173,IF([10]回答表!AA45="●",[10]回答表!J238,"")),"")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IF([10]回答表!F17="水道事業",IF([10]回答表!X45="●",[10]回答表!E212,IF([10]回答表!AA45="●",[10]回答表!E278,"")),"")</f>
        <v/>
      </c>
      <c r="BG89" s="84"/>
      <c r="BH89" s="84"/>
      <c r="BI89" s="84"/>
      <c r="BJ89" s="83" t="str">
        <f>IF([10]回答表!F17="水道事業",IF([10]回答表!X45="●",[10]回答表!E213,IF([10]回答表!AA45="●",[10]回答表!E279,"")),"")</f>
        <v/>
      </c>
      <c r="BK89" s="84"/>
      <c r="BL89" s="84"/>
      <c r="BM89" s="84"/>
      <c r="BN89" s="83" t="str">
        <f>IF([10]回答表!F17="水道事業",IF([10]回答表!X45="●",[10]回答表!E214,IF([10]回答表!AA45="●",[10]回答表!E280,"")),"")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IF([10]回答表!F17="水道事業",IF([10]回答表!AA45="●","●",""),"")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IF([10]回答表!F17="水道事業",IF([10]回答表!X45="●",[10]回答表!J176,IF([10]回答表!AA45="●",[10]回答表!J241,"")),"")</f>
        <v/>
      </c>
      <c r="V93" s="120"/>
      <c r="W93" s="120"/>
      <c r="X93" s="120"/>
      <c r="Y93" s="120"/>
      <c r="Z93" s="120"/>
      <c r="AA93" s="120"/>
      <c r="AB93" s="121"/>
      <c r="AC93" s="119" t="str">
        <f>IF([10]回答表!F17="水道事業",IF([10]回答表!X45="●",[10]回答表!J180,IF([10]回答表!AA45="●",[10]回答表!J245,"")),"")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IF([10]回答表!F17="水道事業",IF([10]回答表!AD45="○","○",""),"")</f>
        <v/>
      </c>
      <c r="O98" s="99"/>
      <c r="P98" s="99"/>
      <c r="Q98" s="100"/>
      <c r="R98" s="38"/>
      <c r="S98" s="38"/>
      <c r="T98" s="38"/>
      <c r="U98" s="107" t="str">
        <f>IF([10]回答表!F17="水道事業",IF([10]回答表!AD45="●",[10]回答表!B289,""),"")</f>
        <v/>
      </c>
      <c r="V98" s="108"/>
      <c r="W98" s="108"/>
      <c r="X98" s="108"/>
      <c r="Y98" s="108"/>
      <c r="Z98" s="108"/>
      <c r="AA98" s="108"/>
      <c r="AB98" s="108"/>
      <c r="AC98" s="108"/>
      <c r="AD98" s="108"/>
      <c r="AE98" s="108"/>
      <c r="AF98" s="108"/>
      <c r="AG98" s="108"/>
      <c r="AH98" s="108"/>
      <c r="AI98" s="108"/>
      <c r="AJ98" s="109"/>
      <c r="AK98" s="55"/>
      <c r="AL98" s="55"/>
      <c r="AM98" s="107" t="str">
        <f>IF([10]回答表!F17="水道事業",IF([10]回答表!AD45="●",[10]回答表!B295,""),"")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IF([10]回答表!F17="簡易水道事業",IF([10]回答表!X45="●",[10]回答表!B158,IF([10]回答表!AA45="●",[10]回答表!B223,"")),"")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IF([10]回答表!F17="簡易水道事業",IF([10]回答表!X45="●",[10]回答表!B212,IF([10]回答表!AA45="●",[10]回答表!B278,"")),"")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IF([10]回答表!F17="簡易水道事業",IF([10]回答表!X45="●","●",""),"")</f>
        <v/>
      </c>
      <c r="O112" s="99"/>
      <c r="P112" s="99"/>
      <c r="Q112" s="100"/>
      <c r="R112" s="38"/>
      <c r="S112" s="38"/>
      <c r="T112" s="38"/>
      <c r="U112" s="119" t="str">
        <f>IF([10]回答表!F17="簡易水道事業",IF([10]回答表!X45="●",[10]回答表!Y185,IF([10]回答表!AA45="●",[10]回答表!Y251,"")),"")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IF([10]回答表!F17="簡易水道事業",IF([10]回答表!X45="●",[10]回答表!E212,IF([10]回答表!AA45="●",[10]回答表!E278,"")),"")</f>
        <v/>
      </c>
      <c r="BG113" s="84"/>
      <c r="BH113" s="84"/>
      <c r="BI113" s="84"/>
      <c r="BJ113" s="83" t="str">
        <f>IF([10]回答表!F17="簡易水道事業",IF([10]回答表!X45="●",[10]回答表!E213,IF([10]回答表!AA45="●",[10]回答表!E279,"")),"")</f>
        <v/>
      </c>
      <c r="BK113" s="84"/>
      <c r="BL113" s="84"/>
      <c r="BM113" s="84"/>
      <c r="BN113" s="83" t="str">
        <f>IF([10]回答表!F17="簡易水道事業",IF([10]回答表!X45="●",[10]回答表!E214,IF([10]回答表!AA45="●",[10]回答表!E280,"")),"")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IF([10]回答表!F17="簡易水道事業",IF([10]回答表!X45="●",[10]回答表!Y186,IF([10]回答表!AA45="●",[10]回答表!Y252,"")),"")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IF([10]回答表!F17="簡易水道事業",IF([10]回答表!AA45="●","●",""),"")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IF([10]回答表!F17="簡易水道事業",IF([10]回答表!X45="●",[10]回答表!Y187,IF([10]回答表!AA45="●",[10]回答表!Y253,"")),"")</f>
        <v/>
      </c>
      <c r="V122" s="120"/>
      <c r="W122" s="120"/>
      <c r="X122" s="120"/>
      <c r="Y122" s="120"/>
      <c r="Z122" s="120"/>
      <c r="AA122" s="120"/>
      <c r="AB122" s="120"/>
      <c r="AC122" s="120"/>
      <c r="AD122" s="120"/>
      <c r="AE122" s="120"/>
      <c r="AF122" s="120"/>
      <c r="AG122" s="120"/>
      <c r="AH122" s="120"/>
      <c r="AI122" s="120"/>
      <c r="AJ122" s="121"/>
      <c r="AK122" s="18"/>
      <c r="AL122" s="18"/>
      <c r="AM122" s="228" t="str">
        <f>IF([10]回答表!F17="簡易水道事業",IF([10]回答表!X45="●",[10]回答表!Y189,IF([10]回答表!AA45="●",[10]回答表!Y255,"")),"")</f>
        <v/>
      </c>
      <c r="AN122" s="228"/>
      <c r="AO122" s="228"/>
      <c r="AP122" s="228"/>
      <c r="AQ122" s="228"/>
      <c r="AR122" s="228"/>
      <c r="AS122" s="228" t="str">
        <f>IF([10]回答表!F17="簡易水道事業",IF([10]回答表!X45="●",[10]回答表!Y190,IF([10]回答表!AA45="●",[10]回答表!Y256,"")),"")</f>
        <v/>
      </c>
      <c r="AT122" s="228"/>
      <c r="AU122" s="228"/>
      <c r="AV122" s="228"/>
      <c r="AW122" s="228"/>
      <c r="AX122" s="228"/>
      <c r="AY122" s="228" t="str">
        <f>IF([10]回答表!F17="簡易水道事業",IF([10]回答表!X45="●",[10]回答表!Y191,IF([10]回答表!AA45="●",[10]回答表!Y257,"")),"")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IF([10]回答表!F17="簡易水道事業",IF([10]回答表!AD45="●","●",""),"")</f>
        <v/>
      </c>
      <c r="O127" s="99"/>
      <c r="P127" s="99"/>
      <c r="Q127" s="100"/>
      <c r="R127" s="38"/>
      <c r="S127" s="38"/>
      <c r="T127" s="38"/>
      <c r="U127" s="107" t="str">
        <f>IF([10]回答表!F17="簡易水道事業",IF([10]回答表!AD45="●",[10]回答表!B289,""),"")</f>
        <v/>
      </c>
      <c r="V127" s="108"/>
      <c r="W127" s="108"/>
      <c r="X127" s="108"/>
      <c r="Y127" s="108"/>
      <c r="Z127" s="108"/>
      <c r="AA127" s="108"/>
      <c r="AB127" s="108"/>
      <c r="AC127" s="108"/>
      <c r="AD127" s="108"/>
      <c r="AE127" s="108"/>
      <c r="AF127" s="108"/>
      <c r="AG127" s="108"/>
      <c r="AH127" s="108"/>
      <c r="AI127" s="108"/>
      <c r="AJ127" s="109"/>
      <c r="AK127" s="55"/>
      <c r="AL127" s="55"/>
      <c r="AM127" s="107" t="str">
        <f>IF([10]回答表!F17="簡易水道事業",IF([10]回答表!AD45="●",[10]回答表!B295,""),"")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IF([10]回答表!F17="下水道事業",IF([10]回答表!X45="●","●",""),"")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IF([10]回答表!F17="下水道事業",IF([10]回答表!X45="●",[10]回答表!B158,IF([10]回答表!AA45="●",[10]回答表!B223,"")),"")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IF([10]回答表!F17="下水道事業",IF([10]回答表!X45="●",[10]回答表!B212,IF([10]回答表!AA45="●",[10]回答表!B278,"")),"")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IF([10]回答表!F17="下水道事業",IF([10]回答表!X45="●",[10]回答表!Y193,IF([10]回答表!AA45="●",[10]回答表!Y259,"")),"")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IF([10]回答表!F17="下水道事業",IF([10]回答表!X45="●",[10]回答表!E212,IF([10]回答表!AA45="●",[10]回答表!E278,"")),"")</f>
        <v/>
      </c>
      <c r="BG142" s="84"/>
      <c r="BH142" s="84"/>
      <c r="BI142" s="84"/>
      <c r="BJ142" s="83" t="str">
        <f>IF([10]回答表!F17="下水道事業",IF([10]回答表!X45="●",[10]回答表!E213,IF([10]回答表!AA45="●",[10]回答表!E279,"")),"")</f>
        <v/>
      </c>
      <c r="BK142" s="84"/>
      <c r="BL142" s="84"/>
      <c r="BM142" s="84"/>
      <c r="BN142" s="83" t="str">
        <f>IF([10]回答表!F17="下水道事業",IF([10]回答表!X45="●",[10]回答表!E214,IF([10]回答表!AA45="●",[10]回答表!E280,"")),"")</f>
        <v/>
      </c>
      <c r="BO142" s="84"/>
      <c r="BP142" s="84"/>
      <c r="BQ142" s="87"/>
      <c r="BR142" s="37"/>
      <c r="BX142" s="211" t="str">
        <f>IF([10]回答表!AQ20="下水道事業",IF([10]回答表!BI48="○",[10]回答表!AM161,IF([10]回答表!BL48="○",[10]回答表!AM226,"")),"")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IF([10]回答表!F17="下水道事業",IF([10]回答表!X45="●",[10]回答表!Y195,IF([10]回答表!AA45="●",[10]回答表!Y261,"")),"")</f>
        <v/>
      </c>
      <c r="V147" s="120"/>
      <c r="W147" s="120"/>
      <c r="X147" s="120"/>
      <c r="Y147" s="120"/>
      <c r="Z147" s="120"/>
      <c r="AA147" s="120"/>
      <c r="AB147" s="121"/>
      <c r="AC147" s="119" t="str">
        <f>IF([10]回答表!F17="下水道事業",IF([10]回答表!X45="●",[10]回答表!Y196,IF([10]回答表!AA45="●",[10]回答表!Y262,"")),"")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IF([10]回答表!F17="下水道事業",IF([10]回答表!X45="●",[10]回答表!Y198,IF([10]回答表!AA45="●",[10]回答表!Y264,"")),"")</f>
        <v/>
      </c>
      <c r="V153" s="120"/>
      <c r="W153" s="120"/>
      <c r="X153" s="120"/>
      <c r="Y153" s="120"/>
      <c r="Z153" s="120"/>
      <c r="AA153" s="120"/>
      <c r="AB153" s="121"/>
      <c r="AC153" s="119" t="str">
        <f>IF([10]回答表!F17="下水道事業",IF([10]回答表!X45="●",[10]回答表!Y199,IF([10]回答表!AA45="●",[10]回答表!Y265,"")),"")</f>
        <v/>
      </c>
      <c r="AD153" s="120"/>
      <c r="AE153" s="120"/>
      <c r="AF153" s="120"/>
      <c r="AG153" s="120"/>
      <c r="AH153" s="120"/>
      <c r="AI153" s="120"/>
      <c r="AJ153" s="121"/>
      <c r="AK153" s="119" t="str">
        <f>IF([10]回答表!F17="下水道事業",IF([10]回答表!X45="●",[10]回答表!Y200,IF([10]回答表!AA45="●",[10]回答表!Y266,"")),"")</f>
        <v/>
      </c>
      <c r="AL153" s="120"/>
      <c r="AM153" s="120"/>
      <c r="AN153" s="120"/>
      <c r="AO153" s="120"/>
      <c r="AP153" s="120"/>
      <c r="AQ153" s="120"/>
      <c r="AR153" s="121"/>
      <c r="AS153" s="119" t="str">
        <f>IF([10]回答表!F17="下水道事業",IF([10]回答表!X45="●",[10]回答表!Y201,IF([10]回答表!AA45="●",[10]回答表!Y267,"")),"")</f>
        <v/>
      </c>
      <c r="AT153" s="120"/>
      <c r="AU153" s="120"/>
      <c r="AV153" s="120"/>
      <c r="AW153" s="120"/>
      <c r="AX153" s="120"/>
      <c r="AY153" s="120"/>
      <c r="AZ153" s="121"/>
      <c r="BA153" s="119" t="str">
        <f>IF([10]回答表!F17="下水道事業",IF([10]回答表!X45="●",[10]回答表!Y202,IF([10]回答表!AA45="●",[10]回答表!Y268,"")),"")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IF([10]回答表!F17="下水道事業",IF([10]回答表!AA45="●","●",""),"")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IF([10]回答表!F17="下水道事業",IF([10]回答表!X45="●",[10]回答表!Y207,IF([10]回答表!AA45="●",[10]回答表!Y273,"")),"")</f>
        <v/>
      </c>
      <c r="V159" s="120"/>
      <c r="W159" s="120"/>
      <c r="X159" s="120"/>
      <c r="Y159" s="120"/>
      <c r="Z159" s="120"/>
      <c r="AA159" s="120"/>
      <c r="AB159" s="121"/>
      <c r="AC159" s="119" t="str">
        <f>IF([10]回答表!F17="下水道事業",IF([10]回答表!X45="●",[10]回答表!Y208,IF([10]回答表!AA45="●",[10]回答表!Y274,"")),"")</f>
        <v/>
      </c>
      <c r="AD159" s="120"/>
      <c r="AE159" s="120"/>
      <c r="AF159" s="120"/>
      <c r="AG159" s="120"/>
      <c r="AH159" s="120"/>
      <c r="AI159" s="120"/>
      <c r="AJ159" s="121"/>
      <c r="AK159" s="119" t="str">
        <f>IF([10]回答表!F17="下水道事業",IF([10]回答表!X45="●",[10]回答表!Y209,IF([10]回答表!AA45="●",[10]回答表!Y275,"")),"")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IF([10]回答表!F17="下水道事業",IF([10]回答表!AD45="●","●",""),"")</f>
        <v/>
      </c>
      <c r="O164" s="99"/>
      <c r="P164" s="99"/>
      <c r="Q164" s="100"/>
      <c r="R164" s="38"/>
      <c r="S164" s="38"/>
      <c r="T164" s="38"/>
      <c r="U164" s="107" t="str">
        <f>IF([10]回答表!F17="下水道事業",IF([10]回答表!AD45="●",[10]回答表!B289,""),"")</f>
        <v/>
      </c>
      <c r="V164" s="108"/>
      <c r="W164" s="108"/>
      <c r="X164" s="108"/>
      <c r="Y164" s="108"/>
      <c r="Z164" s="108"/>
      <c r="AA164" s="108"/>
      <c r="AB164" s="108"/>
      <c r="AC164" s="108"/>
      <c r="AD164" s="108"/>
      <c r="AE164" s="108"/>
      <c r="AF164" s="108"/>
      <c r="AG164" s="108"/>
      <c r="AH164" s="108"/>
      <c r="AI164" s="108"/>
      <c r="AJ164" s="109"/>
      <c r="AK164" s="55"/>
      <c r="AL164" s="55"/>
      <c r="AM164" s="107" t="str">
        <f>IF([10]回答表!F17="下水道事業",IF([10]回答表!AD45="●",[10]回答表!B295,""),"")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IF([10]回答表!BD17="●",IF([10]回答表!X45="●","●",""),"")</f>
        <v/>
      </c>
      <c r="O176" s="99"/>
      <c r="P176" s="99"/>
      <c r="Q176" s="100"/>
      <c r="R176" s="38"/>
      <c r="S176" s="38"/>
      <c r="T176" s="38"/>
      <c r="U176" s="107" t="str">
        <f>IF([10]回答表!BD17="●",IF([10]回答表!X45="●",[10]回答表!B158,IF([10]回答表!AA45="●",[10]回答表!B223,"")),"")</f>
        <v/>
      </c>
      <c r="V176" s="108"/>
      <c r="W176" s="108"/>
      <c r="X176" s="108"/>
      <c r="Y176" s="108"/>
      <c r="Z176" s="108"/>
      <c r="AA176" s="108"/>
      <c r="AB176" s="108"/>
      <c r="AC176" s="108"/>
      <c r="AD176" s="108"/>
      <c r="AE176" s="108"/>
      <c r="AF176" s="108"/>
      <c r="AG176" s="108"/>
      <c r="AH176" s="108"/>
      <c r="AI176" s="108"/>
      <c r="AJ176" s="109"/>
      <c r="AK176" s="49"/>
      <c r="AL176" s="49"/>
      <c r="AM176" s="116" t="str">
        <f>IF([10]回答表!BD17="●",IF([10]回答表!X45="●",[10]回答表!B212,IF([10]回答表!AA45="●",[10]回答表!B278,"")),"")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IF([10]回答表!BD17="●",IF([10]回答表!X45="●",[10]回答表!E212,IF([10]回答表!AA45="●",[10]回答表!E278,"")),"")</f>
        <v/>
      </c>
      <c r="AN179" s="84"/>
      <c r="AO179" s="84"/>
      <c r="AP179" s="84"/>
      <c r="AQ179" s="83" t="str">
        <f>IF([10]回答表!BD17="●",IF([10]回答表!X45="●",[10]回答表!E213,IF([10]回答表!AA45="●",[10]回答表!E279,"")),"")</f>
        <v/>
      </c>
      <c r="AR179" s="84"/>
      <c r="AS179" s="84"/>
      <c r="AT179" s="84"/>
      <c r="AU179" s="83" t="str">
        <f>IF([10]回答表!BD17="●",IF([10]回答表!X45="●",[10]回答表!E214,IF([10]回答表!AA45="●",[10]回答表!E280,"")),"")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IF([10]回答表!BD17="●",IF([10]回答表!AA45="●","●",""),"")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IF([10]回答表!BD17="●",IF([10]回答表!AD45="●","●",""),"")</f>
        <v/>
      </c>
      <c r="O188" s="99"/>
      <c r="P188" s="99"/>
      <c r="Q188" s="100"/>
      <c r="R188" s="38"/>
      <c r="S188" s="38"/>
      <c r="T188" s="38"/>
      <c r="U188" s="107" t="str">
        <f>IF([10]回答表!BD17="●",IF([10]回答表!AD45="●",[10]回答表!B289,""),"")</f>
        <v/>
      </c>
      <c r="V188" s="108"/>
      <c r="W188" s="108"/>
      <c r="X188" s="108"/>
      <c r="Y188" s="108"/>
      <c r="Z188" s="108"/>
      <c r="AA188" s="108"/>
      <c r="AB188" s="108"/>
      <c r="AC188" s="108"/>
      <c r="AD188" s="108"/>
      <c r="AE188" s="108"/>
      <c r="AF188" s="108"/>
      <c r="AG188" s="108"/>
      <c r="AH188" s="108"/>
      <c r="AI188" s="108"/>
      <c r="AJ188" s="109"/>
      <c r="AK188" s="55"/>
      <c r="AL188" s="55"/>
      <c r="AM188" s="107" t="str">
        <f>IF([10]回答表!BD17="●",IF([10]回答表!AD45="●",[10]回答表!B295,""),"")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IF([10]回答表!X46="●","●","")</f>
        <v/>
      </c>
      <c r="O200" s="99"/>
      <c r="P200" s="99"/>
      <c r="Q200" s="100"/>
      <c r="R200" s="38"/>
      <c r="S200" s="38"/>
      <c r="T200" s="38"/>
      <c r="U200" s="107" t="str">
        <f>IF([10]回答表!X46="●",[10]回答表!B307,IF([10]回答表!AA46="●",[10]回答表!B324,""))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IF([10]回答表!X46="●",[10]回答表!U313,IF([10]回答表!AA46="●",[10]回答表!U330,""))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IF([10]回答表!X46="●",[10]回答表!G313,IF([10]回答表!AA46="●",[10]回答表!G330,""))</f>
        <v/>
      </c>
      <c r="AN203" s="120"/>
      <c r="AO203" s="120"/>
      <c r="AP203" s="120"/>
      <c r="AQ203" s="120"/>
      <c r="AR203" s="120"/>
      <c r="AS203" s="120"/>
      <c r="AT203" s="121"/>
      <c r="AU203" s="119" t="str">
        <f>IF([10]回答表!X46="●",[10]回答表!G314,IF([10]回答表!AA46="●",[10]回答表!G331,""))</f>
        <v/>
      </c>
      <c r="AV203" s="120"/>
      <c r="AW203" s="120"/>
      <c r="AX203" s="120"/>
      <c r="AY203" s="120"/>
      <c r="AZ203" s="120"/>
      <c r="BA203" s="120"/>
      <c r="BB203" s="121"/>
      <c r="BC203" s="39"/>
      <c r="BD203" s="34"/>
      <c r="BE203" s="34"/>
      <c r="BF203" s="83" t="str">
        <f>IF([10]回答表!X46="●",[10]回答表!X313,IF([10]回答表!AA46="●",[10]回答表!X330,""))</f>
        <v/>
      </c>
      <c r="BG203" s="84"/>
      <c r="BH203" s="84"/>
      <c r="BI203" s="84"/>
      <c r="BJ203" s="83" t="str">
        <f>IF([10]回答表!X46="●",[10]回答表!X314,IF([10]回答表!AA46="●",[10]回答表!X331,""))</f>
        <v/>
      </c>
      <c r="BK203" s="84"/>
      <c r="BL203" s="84"/>
      <c r="BM203" s="87"/>
      <c r="BN203" s="83" t="str">
        <f>IF([10]回答表!X46="●",[10]回答表!X315,IF([10]回答表!AA46="●",[10]回答表!X332,""))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IF([10]回答表!AA46="●","●","")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IF([10]回答表!AD46="●","●","")</f>
        <v/>
      </c>
      <c r="O212" s="99"/>
      <c r="P212" s="99"/>
      <c r="Q212" s="100"/>
      <c r="R212" s="38"/>
      <c r="S212" s="38"/>
      <c r="T212" s="38"/>
      <c r="U212" s="107" t="str">
        <f>IF([10]回答表!AD46="●",[10]回答表!B337,"")</f>
        <v/>
      </c>
      <c r="V212" s="108"/>
      <c r="W212" s="108"/>
      <c r="X212" s="108"/>
      <c r="Y212" s="108"/>
      <c r="Z212" s="108"/>
      <c r="AA212" s="108"/>
      <c r="AB212" s="108"/>
      <c r="AC212" s="108"/>
      <c r="AD212" s="108"/>
      <c r="AE212" s="108"/>
      <c r="AF212" s="108"/>
      <c r="AG212" s="108"/>
      <c r="AH212" s="108"/>
      <c r="AI212" s="108"/>
      <c r="AJ212" s="109"/>
      <c r="AK212" s="62"/>
      <c r="AL212" s="62"/>
      <c r="AM212" s="107" t="str">
        <f>IF([10]回答表!AD46="●",[10]回答表!B343,"")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IF([10]回答表!X47="●","●","")</f>
        <v/>
      </c>
      <c r="O224" s="99"/>
      <c r="P224" s="99"/>
      <c r="Q224" s="100"/>
      <c r="R224" s="38"/>
      <c r="S224" s="38"/>
      <c r="T224" s="38"/>
      <c r="U224" s="107" t="str">
        <f>IF([10]回答表!X47="●",[10]回答表!B356,IF([10]回答表!AA47="●",[10]回答表!B379,""))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IF([10]回答表!X47="●",[10]回答表!B362,"")</f>
        <v/>
      </c>
      <c r="AO224" s="182"/>
      <c r="AP224" s="182"/>
      <c r="AQ224" s="182"/>
      <c r="AR224" s="182"/>
      <c r="AS224" s="182"/>
      <c r="AT224" s="182"/>
      <c r="AU224" s="182"/>
      <c r="AV224" s="182"/>
      <c r="AW224" s="182"/>
      <c r="AX224" s="182"/>
      <c r="AY224" s="182"/>
      <c r="AZ224" s="182"/>
      <c r="BA224" s="182"/>
      <c r="BB224" s="183"/>
      <c r="BC224" s="39"/>
      <c r="BD224" s="34"/>
      <c r="BE224" s="34"/>
      <c r="BF224" s="116" t="str">
        <f>IF([10]回答表!X47="●",[10]回答表!B368,IF([10]回答表!AA47="●",[10]回答表!B385,""))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IF([10]回答表!X47="●",[10]回答表!E368,IF([10]回答表!AA47="●",[10]回答表!E385,""))</f>
        <v/>
      </c>
      <c r="BG227" s="84"/>
      <c r="BH227" s="84"/>
      <c r="BI227" s="84"/>
      <c r="BJ227" s="83" t="str">
        <f>IF([10]回答表!X47="●",[10]回答表!E369,IF([10]回答表!AA47="●",[10]回答表!E386,""))</f>
        <v/>
      </c>
      <c r="BK227" s="84"/>
      <c r="BL227" s="84"/>
      <c r="BM227" s="87"/>
      <c r="BN227" s="83" t="str">
        <f>IF([10]回答表!X47="●",[10]回答表!E370,IF([10]回答表!AA47="●",[10]回答表!E387,""))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IF([10]回答表!AA47="●","●","")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IF([10]回答表!AD47="●","●","")</f>
        <v/>
      </c>
      <c r="O236" s="99"/>
      <c r="P236" s="99"/>
      <c r="Q236" s="100"/>
      <c r="R236" s="38"/>
      <c r="S236" s="38"/>
      <c r="T236" s="38"/>
      <c r="U236" s="107" t="str">
        <f>IF([10]回答表!AD47="●",[10]回答表!B392,"")</f>
        <v/>
      </c>
      <c r="V236" s="108"/>
      <c r="W236" s="108"/>
      <c r="X236" s="108"/>
      <c r="Y236" s="108"/>
      <c r="Z236" s="108"/>
      <c r="AA236" s="108"/>
      <c r="AB236" s="108"/>
      <c r="AC236" s="108"/>
      <c r="AD236" s="108"/>
      <c r="AE236" s="108"/>
      <c r="AF236" s="108"/>
      <c r="AG236" s="108"/>
      <c r="AH236" s="108"/>
      <c r="AI236" s="108"/>
      <c r="AJ236" s="109"/>
      <c r="AK236" s="62"/>
      <c r="AL236" s="62"/>
      <c r="AM236" s="107" t="str">
        <f>IF([10]回答表!AD47="●",[10]回答表!B398,"")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IF([10]回答表!X48="●","●","")</f>
        <v/>
      </c>
      <c r="O248" s="99"/>
      <c r="P248" s="99"/>
      <c r="Q248" s="100"/>
      <c r="R248" s="38"/>
      <c r="S248" s="38"/>
      <c r="T248" s="38"/>
      <c r="U248" s="107" t="str">
        <f>IF([10]回答表!X48="●",[10]回答表!B411,IF([10]回答表!AA48="●",[10]回答表!B425,""))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IF([10]回答表!X48="●",[10]回答表!BC418,IF([10]回答表!AA48="●",[10]回答表!BC432,""))</f>
        <v/>
      </c>
      <c r="AR248" s="151"/>
      <c r="AS248" s="151"/>
      <c r="AT248" s="151"/>
      <c r="AU248" s="173" t="s">
        <v>73</v>
      </c>
      <c r="AV248" s="174"/>
      <c r="AW248" s="174"/>
      <c r="AX248" s="175"/>
      <c r="AY248" s="151" t="str">
        <f>IF([10]回答表!X48="●",[10]回答表!BC423,IF([10]回答表!AA48="●",[10]回答表!BC437,""))</f>
        <v/>
      </c>
      <c r="AZ248" s="151"/>
      <c r="BA248" s="151"/>
      <c r="BB248" s="151"/>
      <c r="BC248" s="39"/>
      <c r="BD248" s="34"/>
      <c r="BE248" s="34"/>
      <c r="BF248" s="116" t="str">
        <f>IF([10]回答表!X48="●",[10]回答表!S417,IF([10]回答表!AA48="●",[10]回答表!S431,""))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IF([10]回答表!X48="●",[10]回答表!BC419,IF([10]回答表!AA48="●",[10]回答表!BC433,""))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IF([10]回答表!X48="●",[10]回答表!V417,IF([10]回答表!AA48="●",[10]回答表!V431,""))</f>
        <v/>
      </c>
      <c r="BG251" s="84"/>
      <c r="BH251" s="84"/>
      <c r="BI251" s="84"/>
      <c r="BJ251" s="83" t="str">
        <f>IF([10]回答表!X48="●",[10]回答表!V418,IF([10]回答表!AA48="●",[10]回答表!V432,""))</f>
        <v/>
      </c>
      <c r="BK251" s="84"/>
      <c r="BL251" s="84"/>
      <c r="BM251" s="87"/>
      <c r="BN251" s="83" t="str">
        <f>IF([10]回答表!X48="●",[10]回答表!V419,IF([10]回答表!AA48="●",[10]回答表!V433,""))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IF([10]回答表!X48="●",[10]回答表!BC420,IF([10]回答表!AA48="●",[10]回答表!BC434,""))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IF([10]回答表!X48="●",[10]回答表!BC424,IF([10]回答表!AA48="●",[10]回答表!BC438,""))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IF([10]回答表!AA48="●","●","")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IF([10]回答表!X48="●",[10]回答表!BC421,IF([10]回答表!AA48="●",[10]回答表!BC435,""))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IF([10]回答表!X48="●",[10]回答表!BC422,IF([10]回答表!AA48="●",[10]回答表!BC436,""))</f>
        <v/>
      </c>
      <c r="AR256" s="151"/>
      <c r="AS256" s="151"/>
      <c r="AT256" s="151"/>
      <c r="AU256" s="152" t="s">
        <v>79</v>
      </c>
      <c r="AV256" s="153"/>
      <c r="AW256" s="153"/>
      <c r="AX256" s="154"/>
      <c r="AY256" s="158" t="str">
        <f>IF([10]回答表!X48="●",[10]回答表!BC425,IF([10]回答表!AA48="●",[10]回答表!BC439,""))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IF([10]回答表!AD48="●","●","")</f>
        <v/>
      </c>
      <c r="O260" s="99"/>
      <c r="P260" s="99"/>
      <c r="Q260" s="100"/>
      <c r="R260" s="38"/>
      <c r="S260" s="38"/>
      <c r="T260" s="38"/>
      <c r="U260" s="107" t="str">
        <f>IF([10]回答表!AD48="●",[10]回答表!B439,"")</f>
        <v/>
      </c>
      <c r="V260" s="108"/>
      <c r="W260" s="108"/>
      <c r="X260" s="108"/>
      <c r="Y260" s="108"/>
      <c r="Z260" s="108"/>
      <c r="AA260" s="108"/>
      <c r="AB260" s="108"/>
      <c r="AC260" s="108"/>
      <c r="AD260" s="108"/>
      <c r="AE260" s="108"/>
      <c r="AF260" s="108"/>
      <c r="AG260" s="108"/>
      <c r="AH260" s="108"/>
      <c r="AI260" s="108"/>
      <c r="AJ260" s="109"/>
      <c r="AK260" s="55"/>
      <c r="AL260" s="55"/>
      <c r="AM260" s="107" t="str">
        <f>IF([10]回答表!AD48="●",[10]回答表!B445,"")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IF([10]回答表!X49="●","●","")</f>
        <v/>
      </c>
      <c r="O271" s="99"/>
      <c r="P271" s="99"/>
      <c r="Q271" s="100"/>
      <c r="R271" s="38"/>
      <c r="S271" s="38"/>
      <c r="T271" s="38"/>
      <c r="U271" s="107" t="str">
        <f>IF([10]回答表!X49="●",[10]回答表!B458,IF([10]回答表!AA49="●",[10]回答表!B475,""))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IF([10]回答表!X49="●",[10]回答表!B468,IF([10]回答表!AA49="●",[10]回答表!B485,""))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IF([10]回答表!X49="●",[10]回答表!G464,IF([10]回答表!AA49="●",[10]回答表!G481,""))</f>
        <v/>
      </c>
      <c r="AN273" s="120"/>
      <c r="AO273" s="120"/>
      <c r="AP273" s="120"/>
      <c r="AQ273" s="120"/>
      <c r="AR273" s="120"/>
      <c r="AS273" s="120"/>
      <c r="AT273" s="121"/>
      <c r="AU273" s="119" t="str">
        <f>IF([10]回答表!X49="●",[10]回答表!G465,IF([10]回答表!AA49="●",[10]回答表!G482,""))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IF([10]回答表!X49="●",[10]回答表!E468,IF([10]回答表!AA49="●",[10]回答表!E485,""))</f>
        <v/>
      </c>
      <c r="BG274" s="84"/>
      <c r="BH274" s="84"/>
      <c r="BI274" s="84"/>
      <c r="BJ274" s="83" t="str">
        <f>IF([10]回答表!X49="●",[10]回答表!E469,IF([10]回答表!AA49="●",[10]回答表!E486,""))</f>
        <v/>
      </c>
      <c r="BK274" s="84"/>
      <c r="BL274" s="84"/>
      <c r="BM274" s="87"/>
      <c r="BN274" s="83" t="str">
        <f>IF([10]回答表!X49="●",[10]回答表!E470,IF([10]回答表!AA49="●",[10]回答表!E487,""))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IF([10]回答表!AA49="●","●","")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IF([10]回答表!AD49="●","●","")</f>
        <v/>
      </c>
      <c r="O283" s="99"/>
      <c r="P283" s="99"/>
      <c r="Q283" s="100"/>
      <c r="R283" s="38"/>
      <c r="S283" s="38"/>
      <c r="T283" s="38"/>
      <c r="U283" s="107" t="str">
        <f>IF([10]回答表!AD49="●",[10]回答表!B492,"")</f>
        <v/>
      </c>
      <c r="V283" s="108"/>
      <c r="W283" s="108"/>
      <c r="X283" s="108"/>
      <c r="Y283" s="108"/>
      <c r="Z283" s="108"/>
      <c r="AA283" s="108"/>
      <c r="AB283" s="108"/>
      <c r="AC283" s="108"/>
      <c r="AD283" s="108"/>
      <c r="AE283" s="108"/>
      <c r="AF283" s="108"/>
      <c r="AG283" s="108"/>
      <c r="AH283" s="108"/>
      <c r="AI283" s="108"/>
      <c r="AJ283" s="109"/>
      <c r="AK283" s="49"/>
      <c r="AL283" s="49"/>
      <c r="AM283" s="107" t="str">
        <f>IF([10]回答表!AD49="●",[10]回答表!B498,"")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IF([10]回答表!R50="●",[10]回答表!B511,"")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3" priority="2">
      <formula>$BB$25="○"</formula>
    </cfRule>
  </conditionalFormatting>
  <conditionalFormatting sqref="BD28:BD30">
    <cfRule type="expression" dxfId="22"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0373-CFA8-4688-AD17-DE2BCD26E70C}">
  <sheetPr>
    <pageSetUpPr fitToPage="1"/>
  </sheetPr>
  <dimension ref="A1:CN315"/>
  <sheetViews>
    <sheetView showZeros="0" view="pageBreakPreview" zoomScale="60" zoomScaleNormal="55" workbookViewId="0">
      <selection activeCell="AF23" sqref="AF23:AL23"/>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IF(COUNTIF([12]回答表!K15,"*")&gt;0,[12]回答表!K15,"")</f>
        <v>横手市</v>
      </c>
      <c r="D11" s="299"/>
      <c r="E11" s="299"/>
      <c r="F11" s="299"/>
      <c r="G11" s="299"/>
      <c r="H11" s="299"/>
      <c r="I11" s="299"/>
      <c r="J11" s="299"/>
      <c r="K11" s="299"/>
      <c r="L11" s="299"/>
      <c r="M11" s="299"/>
      <c r="N11" s="299"/>
      <c r="O11" s="299"/>
      <c r="P11" s="299"/>
      <c r="Q11" s="299"/>
      <c r="R11" s="299"/>
      <c r="S11" s="299"/>
      <c r="T11" s="299"/>
      <c r="U11" s="306" t="str">
        <f>IF(COUNTIF([12]回答表!F17,"*")&gt;0,[12]回答表!F17,"")</f>
        <v>病院事業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IF(COUNTIF([12]回答表!W17,"*")&gt;0,[12]回答表!W17,"")</f>
        <v>―</v>
      </c>
      <c r="AP11" s="301"/>
      <c r="AQ11" s="301"/>
      <c r="AR11" s="301"/>
      <c r="AS11" s="301"/>
      <c r="AT11" s="301"/>
      <c r="AU11" s="301"/>
      <c r="AV11" s="301"/>
      <c r="AW11" s="301"/>
      <c r="AX11" s="301"/>
      <c r="AY11" s="301"/>
      <c r="AZ11" s="301"/>
      <c r="BA11" s="301"/>
      <c r="BB11" s="301"/>
      <c r="BC11" s="301"/>
      <c r="BD11" s="301"/>
      <c r="BE11" s="301"/>
      <c r="BF11" s="302"/>
      <c r="BG11" s="305" t="str">
        <f>IF(COUNTIF([12]回答表!F19,"*")&gt;0,[12]回答表!F19,"")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IF([12]回答表!R43="●","●","")</f>
        <v/>
      </c>
      <c r="E24" s="123"/>
      <c r="F24" s="123"/>
      <c r="G24" s="123"/>
      <c r="H24" s="123"/>
      <c r="I24" s="123"/>
      <c r="J24" s="124"/>
      <c r="K24" s="122" t="str">
        <f>IF([12]回答表!R44="●","●","")</f>
        <v/>
      </c>
      <c r="L24" s="123"/>
      <c r="M24" s="123"/>
      <c r="N24" s="123"/>
      <c r="O24" s="123"/>
      <c r="P24" s="123"/>
      <c r="Q24" s="124"/>
      <c r="R24" s="122" t="str">
        <f>IF([12]回答表!R45="●","●","")</f>
        <v/>
      </c>
      <c r="S24" s="123"/>
      <c r="T24" s="123"/>
      <c r="U24" s="123"/>
      <c r="V24" s="123"/>
      <c r="W24" s="123"/>
      <c r="X24" s="124"/>
      <c r="Y24" s="122" t="str">
        <f>IF([12]回答表!R46="●","●","")</f>
        <v/>
      </c>
      <c r="Z24" s="123"/>
      <c r="AA24" s="123"/>
      <c r="AB24" s="123"/>
      <c r="AC24" s="123"/>
      <c r="AD24" s="123"/>
      <c r="AE24" s="124"/>
      <c r="AF24" s="122" t="str">
        <f>IF([12]回答表!R47="●","●","")</f>
        <v/>
      </c>
      <c r="AG24" s="123"/>
      <c r="AH24" s="123"/>
      <c r="AI24" s="123"/>
      <c r="AJ24" s="123"/>
      <c r="AK24" s="123"/>
      <c r="AL24" s="124"/>
      <c r="AM24" s="122" t="str">
        <f>IF([12]回答表!R48="●","●","")</f>
        <v/>
      </c>
      <c r="AN24" s="123"/>
      <c r="AO24" s="123"/>
      <c r="AP24" s="123"/>
      <c r="AQ24" s="123"/>
      <c r="AR24" s="123"/>
      <c r="AS24" s="124"/>
      <c r="AT24" s="122" t="str">
        <f>IF([12]回答表!R49="●","●","")</f>
        <v/>
      </c>
      <c r="AU24" s="123"/>
      <c r="AV24" s="123"/>
      <c r="AW24" s="123"/>
      <c r="AX24" s="123"/>
      <c r="AY24" s="123"/>
      <c r="AZ24" s="124"/>
      <c r="BA24" s="18"/>
      <c r="BB24" s="119" t="str">
        <f>IF([12]回答表!R50="●","●","")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IF([12]回答表!X43="●","●","")</f>
        <v/>
      </c>
      <c r="O36" s="99"/>
      <c r="P36" s="99"/>
      <c r="Q36" s="100"/>
      <c r="R36" s="38"/>
      <c r="S36" s="38"/>
      <c r="T36" s="38"/>
      <c r="U36" s="107" t="str">
        <f>IF([12]回答表!X43="●",[12]回答表!B59,IF([12]回答表!AA43="●",[12]回答表!B79,""))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IF([12]回答表!X43="●",[12]回答表!S65,IF([12]回答表!AA43="●",[12]回答表!S85,""))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IF([12]回答表!X43="●",[12]回答表!G65,IF([12]回答表!AA43="●",[12]回答表!G85,""))</f>
        <v/>
      </c>
      <c r="AN38" s="120"/>
      <c r="AO38" s="120"/>
      <c r="AP38" s="120"/>
      <c r="AQ38" s="120"/>
      <c r="AR38" s="120"/>
      <c r="AS38" s="120"/>
      <c r="AT38" s="121"/>
      <c r="AU38" s="119" t="str">
        <f>IF([12]回答表!X43="●",[12]回答表!G66,IF([12]回答表!AA43="●",[12]回答表!G86,""))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IF([12]回答表!X43="●",[12]回答表!V65,IF([12]回答表!AA43="●",[12]回答表!V85,""))</f>
        <v/>
      </c>
      <c r="BG39" s="249"/>
      <c r="BH39" s="249"/>
      <c r="BI39" s="250"/>
      <c r="BJ39" s="83" t="str">
        <f>IF([12]回答表!X43="●",[12]回答表!V66,IF([12]回答表!AA43="●",[12]回答表!V86,""))</f>
        <v/>
      </c>
      <c r="BK39" s="249"/>
      <c r="BL39" s="249"/>
      <c r="BM39" s="250"/>
      <c r="BN39" s="83" t="str">
        <f>IF([12]回答表!X43="●",[12]回答表!V67,IF([12]回答表!AA43="●",[12]回答表!V87,""))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IF([12]回答表!X43="●",[12]回答表!O71,IF([12]回答表!AA43="●",[12]回答表!O91,""))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IF([12]回答表!X43="●",[12]回答表!O72,IF([12]回答表!AA43="●",[12]回答表!O92,""))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IF([12]回答表!X43="●",[12]回答表!O73,IF([12]回答表!AA43="●",[12]回答表!O93,""))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IF([12]回答表!X43="●",[12]回答表!O74,IF([12]回答表!AA43="●",[12]回答表!O94,""))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IF([12]回答表!X43="●",[12]回答表!AG71,IF([12]回答表!AA43="●",[12]回答表!AG91,""))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IF([12]回答表!X43="●",[12]回答表!AG72,IF([12]回答表!AA43="●",[12]回答表!AG92,""))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IF([12]回答表!AD43="●","●","")</f>
        <v/>
      </c>
      <c r="O51" s="99"/>
      <c r="P51" s="99"/>
      <c r="Q51" s="100"/>
      <c r="R51" s="38"/>
      <c r="S51" s="38"/>
      <c r="T51" s="38"/>
      <c r="U51" s="107" t="str">
        <f>IF([12]回答表!AD43="●",[12]回答表!B99,"")</f>
        <v/>
      </c>
      <c r="V51" s="108"/>
      <c r="W51" s="108"/>
      <c r="X51" s="108"/>
      <c r="Y51" s="108"/>
      <c r="Z51" s="108"/>
      <c r="AA51" s="108"/>
      <c r="AB51" s="108"/>
      <c r="AC51" s="108"/>
      <c r="AD51" s="108"/>
      <c r="AE51" s="108"/>
      <c r="AF51" s="108"/>
      <c r="AG51" s="108"/>
      <c r="AH51" s="108"/>
      <c r="AI51" s="108"/>
      <c r="AJ51" s="109"/>
      <c r="AK51" s="55"/>
      <c r="AL51" s="55"/>
      <c r="AM51" s="107" t="str">
        <f>IF([12]回答表!AD43="●",[12]回答表!B104,"")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IF([12]回答表!X44="●","●","")</f>
        <v/>
      </c>
      <c r="O62" s="99"/>
      <c r="P62" s="99"/>
      <c r="Q62" s="100"/>
      <c r="R62" s="38"/>
      <c r="S62" s="38"/>
      <c r="T62" s="38"/>
      <c r="U62" s="107" t="str">
        <f>IF([12]回答表!X44="●",[12]回答表!B115,IF([12]回答表!AA44="●",[12]回答表!B127,""))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IF([12]回答表!X44="●",[12]回答表!S121,IF([12]回答表!AA44="●",[12]回答表!S133,""))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IF([12]回答表!X44="●",[12]回答表!J121,IF([12]回答表!AA44="●",[12]回答表!J133,""))</f>
        <v/>
      </c>
      <c r="AN65" s="120"/>
      <c r="AO65" s="120"/>
      <c r="AP65" s="120"/>
      <c r="AQ65" s="120"/>
      <c r="AR65" s="120"/>
      <c r="AS65" s="120"/>
      <c r="AT65" s="121"/>
      <c r="AU65" s="119" t="str">
        <f>IF([12]回答表!X44="●",[12]回答表!J122,IF([12]回答表!AA44="●",[12]回答表!J134,""))</f>
        <v/>
      </c>
      <c r="AV65" s="120"/>
      <c r="AW65" s="120"/>
      <c r="AX65" s="120"/>
      <c r="AY65" s="120"/>
      <c r="AZ65" s="120"/>
      <c r="BA65" s="120"/>
      <c r="BB65" s="121"/>
      <c r="BC65" s="39"/>
      <c r="BD65" s="34"/>
      <c r="BE65" s="34"/>
      <c r="BF65" s="83" t="str">
        <f>IF([12]回答表!X44="●",[12]回答表!V121,IF([12]回答表!AA44="●",[12]回答表!V133,""))</f>
        <v/>
      </c>
      <c r="BG65" s="84"/>
      <c r="BH65" s="84"/>
      <c r="BI65" s="84"/>
      <c r="BJ65" s="83" t="str">
        <f>IF([12]回答表!X44="●",[12]回答表!V122,IF([12]回答表!AA44="●",[12]回答表!V134,""))</f>
        <v/>
      </c>
      <c r="BK65" s="84"/>
      <c r="BL65" s="84"/>
      <c r="BM65" s="84"/>
      <c r="BN65" s="83" t="str">
        <f>IF([12]回答表!X44="●",[12]回答表!V123,IF([12]回答表!AA44="●",[12]回答表!V135,""))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IF([12]回答表!AD44="●","●","")</f>
        <v/>
      </c>
      <c r="O74" s="99"/>
      <c r="P74" s="99"/>
      <c r="Q74" s="100"/>
      <c r="R74" s="38"/>
      <c r="S74" s="38"/>
      <c r="T74" s="38"/>
      <c r="U74" s="107" t="str">
        <f>IF([12]回答表!AD44="●",[12]回答表!B140,"")</f>
        <v/>
      </c>
      <c r="V74" s="108"/>
      <c r="W74" s="108"/>
      <c r="X74" s="108"/>
      <c r="Y74" s="108"/>
      <c r="Z74" s="108"/>
      <c r="AA74" s="108"/>
      <c r="AB74" s="108"/>
      <c r="AC74" s="108"/>
      <c r="AD74" s="108"/>
      <c r="AE74" s="108"/>
      <c r="AF74" s="108"/>
      <c r="AG74" s="108"/>
      <c r="AH74" s="108"/>
      <c r="AI74" s="108"/>
      <c r="AJ74" s="109"/>
      <c r="AK74" s="55"/>
      <c r="AL74" s="55"/>
      <c r="AM74" s="107" t="str">
        <f>IF([12]回答表!AD44="●",[12]回答表!B146,"")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IF([12]回答表!F17="水道事業",IF([12]回答表!X45="●","●",""),"")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IF([12]回答表!F17="水道事業",IF([12]回答表!X45="●",[12]回答表!B158,IF([12]回答表!AA45="●",[12]回答表!B223,"")),"")</f>
        <v/>
      </c>
      <c r="AN86" s="212"/>
      <c r="AO86" s="212"/>
      <c r="AP86" s="212"/>
      <c r="AQ86" s="212"/>
      <c r="AR86" s="212"/>
      <c r="AS86" s="212"/>
      <c r="AT86" s="212"/>
      <c r="AU86" s="212"/>
      <c r="AV86" s="212"/>
      <c r="AW86" s="212"/>
      <c r="AX86" s="212"/>
      <c r="AY86" s="212"/>
      <c r="AZ86" s="212"/>
      <c r="BA86" s="212"/>
      <c r="BB86" s="212"/>
      <c r="BC86" s="213"/>
      <c r="BD86" s="34"/>
      <c r="BE86" s="34"/>
      <c r="BF86" s="116" t="str">
        <f>IF([12]回答表!F17="水道事業",IF([12]回答表!X45="●",[12]回答表!B212,IF([12]回答表!AA45="●",[12]回答表!B278,"")),"")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IF([12]回答表!F17="水道事業",IF([12]回答表!X45="●",[12]回答表!J166,IF([12]回答表!AA45="●",[12]回答表!J231,"")),"")</f>
        <v/>
      </c>
      <c r="V88" s="120"/>
      <c r="W88" s="120"/>
      <c r="X88" s="120"/>
      <c r="Y88" s="120"/>
      <c r="Z88" s="120"/>
      <c r="AA88" s="120"/>
      <c r="AB88" s="121"/>
      <c r="AC88" s="119" t="str">
        <f>IF([12]回答表!F17="水道事業",IF([12]回答表!X45="●",[12]回答表!J173,IF([12]回答表!AA45="●",[12]回答表!J238,"")),"")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IF([12]回答表!F17="水道事業",IF([12]回答表!X45="●",[12]回答表!E212,IF([12]回答表!AA45="●",[12]回答表!E278,"")),"")</f>
        <v/>
      </c>
      <c r="BG89" s="84"/>
      <c r="BH89" s="84"/>
      <c r="BI89" s="84"/>
      <c r="BJ89" s="83" t="str">
        <f>IF([12]回答表!F17="水道事業",IF([12]回答表!X45="●",[12]回答表!E213,IF([12]回答表!AA45="●",[12]回答表!E279,"")),"")</f>
        <v/>
      </c>
      <c r="BK89" s="84"/>
      <c r="BL89" s="84"/>
      <c r="BM89" s="84"/>
      <c r="BN89" s="83" t="str">
        <f>IF([12]回答表!F17="水道事業",IF([12]回答表!X45="●",[12]回答表!E214,IF([12]回答表!AA45="●",[12]回答表!E280,"")),"")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IF([12]回答表!F17="水道事業",IF([12]回答表!AA45="●","●",""),"")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IF([12]回答表!F17="水道事業",IF([12]回答表!X45="●",[12]回答表!J176,IF([12]回答表!AA45="●",[12]回答表!J241,"")),"")</f>
        <v/>
      </c>
      <c r="V93" s="120"/>
      <c r="W93" s="120"/>
      <c r="X93" s="120"/>
      <c r="Y93" s="120"/>
      <c r="Z93" s="120"/>
      <c r="AA93" s="120"/>
      <c r="AB93" s="121"/>
      <c r="AC93" s="119" t="str">
        <f>IF([12]回答表!F17="水道事業",IF([12]回答表!X45="●",[12]回答表!J180,IF([12]回答表!AA45="●",[12]回答表!J245,"")),"")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IF([12]回答表!F17="水道事業",IF([12]回答表!AD45="○","○",""),"")</f>
        <v/>
      </c>
      <c r="O98" s="99"/>
      <c r="P98" s="99"/>
      <c r="Q98" s="100"/>
      <c r="R98" s="38"/>
      <c r="S98" s="38"/>
      <c r="T98" s="38"/>
      <c r="U98" s="107" t="str">
        <f>IF([12]回答表!F17="水道事業",IF([12]回答表!AD45="●",[12]回答表!B289,""),"")</f>
        <v/>
      </c>
      <c r="V98" s="108"/>
      <c r="W98" s="108"/>
      <c r="X98" s="108"/>
      <c r="Y98" s="108"/>
      <c r="Z98" s="108"/>
      <c r="AA98" s="108"/>
      <c r="AB98" s="108"/>
      <c r="AC98" s="108"/>
      <c r="AD98" s="108"/>
      <c r="AE98" s="108"/>
      <c r="AF98" s="108"/>
      <c r="AG98" s="108"/>
      <c r="AH98" s="108"/>
      <c r="AI98" s="108"/>
      <c r="AJ98" s="109"/>
      <c r="AK98" s="55"/>
      <c r="AL98" s="55"/>
      <c r="AM98" s="107" t="str">
        <f>IF([12]回答表!F17="水道事業",IF([12]回答表!AD45="●",[12]回答表!B295,""),"")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IF([12]回答表!F17="簡易水道事業",IF([12]回答表!X45="●",[12]回答表!B158,IF([12]回答表!AA45="●",[12]回答表!B223,"")),"")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IF([12]回答表!F17="簡易水道事業",IF([12]回答表!X45="●",[12]回答表!B212,IF([12]回答表!AA45="●",[12]回答表!B278,"")),"")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IF([12]回答表!F17="簡易水道事業",IF([12]回答表!X45="●","●",""),"")</f>
        <v/>
      </c>
      <c r="O112" s="99"/>
      <c r="P112" s="99"/>
      <c r="Q112" s="100"/>
      <c r="R112" s="38"/>
      <c r="S112" s="38"/>
      <c r="T112" s="38"/>
      <c r="U112" s="119" t="str">
        <f>IF([12]回答表!F17="簡易水道事業",IF([12]回答表!X45="●",[12]回答表!Y185,IF([12]回答表!AA45="●",[12]回答表!Y251,"")),"")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IF([12]回答表!F17="簡易水道事業",IF([12]回答表!X45="●",[12]回答表!E212,IF([12]回答表!AA45="●",[12]回答表!E278,"")),"")</f>
        <v/>
      </c>
      <c r="BG113" s="84"/>
      <c r="BH113" s="84"/>
      <c r="BI113" s="84"/>
      <c r="BJ113" s="83" t="str">
        <f>IF([12]回答表!F17="簡易水道事業",IF([12]回答表!X45="●",[12]回答表!E213,IF([12]回答表!AA45="●",[12]回答表!E279,"")),"")</f>
        <v/>
      </c>
      <c r="BK113" s="84"/>
      <c r="BL113" s="84"/>
      <c r="BM113" s="84"/>
      <c r="BN113" s="83" t="str">
        <f>IF([12]回答表!F17="簡易水道事業",IF([12]回答表!X45="●",[12]回答表!E214,IF([12]回答表!AA45="●",[12]回答表!E280,"")),"")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IF([12]回答表!F17="簡易水道事業",IF([12]回答表!X45="●",[12]回答表!Y186,IF([12]回答表!AA45="●",[12]回答表!Y252,"")),"")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IF([12]回答表!F17="簡易水道事業",IF([12]回答表!AA45="●","●",""),"")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IF([12]回答表!F17="簡易水道事業",IF([12]回答表!X45="●",[12]回答表!Y187,IF([12]回答表!AA45="●",[12]回答表!Y253,"")),"")</f>
        <v/>
      </c>
      <c r="V122" s="120"/>
      <c r="W122" s="120"/>
      <c r="X122" s="120"/>
      <c r="Y122" s="120"/>
      <c r="Z122" s="120"/>
      <c r="AA122" s="120"/>
      <c r="AB122" s="120"/>
      <c r="AC122" s="120"/>
      <c r="AD122" s="120"/>
      <c r="AE122" s="120"/>
      <c r="AF122" s="120"/>
      <c r="AG122" s="120"/>
      <c r="AH122" s="120"/>
      <c r="AI122" s="120"/>
      <c r="AJ122" s="121"/>
      <c r="AK122" s="18"/>
      <c r="AL122" s="18"/>
      <c r="AM122" s="228" t="str">
        <f>IF([12]回答表!F17="簡易水道事業",IF([12]回答表!X45="●",[12]回答表!Y189,IF([12]回答表!AA45="●",[12]回答表!Y255,"")),"")</f>
        <v/>
      </c>
      <c r="AN122" s="228"/>
      <c r="AO122" s="228"/>
      <c r="AP122" s="228"/>
      <c r="AQ122" s="228"/>
      <c r="AR122" s="228"/>
      <c r="AS122" s="228" t="str">
        <f>IF([12]回答表!F17="簡易水道事業",IF([12]回答表!X45="●",[12]回答表!Y190,IF([12]回答表!AA45="●",[12]回答表!Y256,"")),"")</f>
        <v/>
      </c>
      <c r="AT122" s="228"/>
      <c r="AU122" s="228"/>
      <c r="AV122" s="228"/>
      <c r="AW122" s="228"/>
      <c r="AX122" s="228"/>
      <c r="AY122" s="228" t="str">
        <f>IF([12]回答表!F17="簡易水道事業",IF([12]回答表!X45="●",[12]回答表!Y191,IF([12]回答表!AA45="●",[12]回答表!Y257,"")),"")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IF([12]回答表!F17="簡易水道事業",IF([12]回答表!AD45="●","●",""),"")</f>
        <v/>
      </c>
      <c r="O127" s="99"/>
      <c r="P127" s="99"/>
      <c r="Q127" s="100"/>
      <c r="R127" s="38"/>
      <c r="S127" s="38"/>
      <c r="T127" s="38"/>
      <c r="U127" s="107" t="str">
        <f>IF([12]回答表!F17="簡易水道事業",IF([12]回答表!AD45="●",[12]回答表!B289,""),"")</f>
        <v/>
      </c>
      <c r="V127" s="108"/>
      <c r="W127" s="108"/>
      <c r="X127" s="108"/>
      <c r="Y127" s="108"/>
      <c r="Z127" s="108"/>
      <c r="AA127" s="108"/>
      <c r="AB127" s="108"/>
      <c r="AC127" s="108"/>
      <c r="AD127" s="108"/>
      <c r="AE127" s="108"/>
      <c r="AF127" s="108"/>
      <c r="AG127" s="108"/>
      <c r="AH127" s="108"/>
      <c r="AI127" s="108"/>
      <c r="AJ127" s="109"/>
      <c r="AK127" s="55"/>
      <c r="AL127" s="55"/>
      <c r="AM127" s="107" t="str">
        <f>IF([12]回答表!F17="簡易水道事業",IF([12]回答表!AD45="●",[12]回答表!B295,""),"")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IF([12]回答表!F17="下水道事業",IF([12]回答表!X45="●","●",""),"")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IF([12]回答表!F17="下水道事業",IF([12]回答表!X45="●",[12]回答表!B158,IF([12]回答表!AA45="●",[12]回答表!B223,"")),"")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IF([12]回答表!F17="下水道事業",IF([12]回答表!X45="●",[12]回答表!B212,IF([12]回答表!AA45="●",[12]回答表!B278,"")),"")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IF([12]回答表!F17="下水道事業",IF([12]回答表!X45="●",[12]回答表!Y193,IF([12]回答表!AA45="●",[12]回答表!Y259,"")),"")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IF([12]回答表!F17="下水道事業",IF([12]回答表!X45="●",[12]回答表!E212,IF([12]回答表!AA45="●",[12]回答表!E278,"")),"")</f>
        <v/>
      </c>
      <c r="BG142" s="84"/>
      <c r="BH142" s="84"/>
      <c r="BI142" s="84"/>
      <c r="BJ142" s="83" t="str">
        <f>IF([12]回答表!F17="下水道事業",IF([12]回答表!X45="●",[12]回答表!E213,IF([12]回答表!AA45="●",[12]回答表!E279,"")),"")</f>
        <v/>
      </c>
      <c r="BK142" s="84"/>
      <c r="BL142" s="84"/>
      <c r="BM142" s="84"/>
      <c r="BN142" s="83" t="str">
        <f>IF([12]回答表!F17="下水道事業",IF([12]回答表!X45="●",[12]回答表!E214,IF([12]回答表!AA45="●",[12]回答表!E280,"")),"")</f>
        <v/>
      </c>
      <c r="BO142" s="84"/>
      <c r="BP142" s="84"/>
      <c r="BQ142" s="87"/>
      <c r="BR142" s="37"/>
      <c r="BX142" s="211" t="str">
        <f>IF([12]回答表!AQ20="下水道事業",IF([12]回答表!BI48="○",[12]回答表!AM161,IF([12]回答表!BL48="○",[12]回答表!AM226,"")),"")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IF([12]回答表!F17="下水道事業",IF([12]回答表!X45="●",[12]回答表!Y195,IF([12]回答表!AA45="●",[12]回答表!Y261,"")),"")</f>
        <v/>
      </c>
      <c r="V147" s="120"/>
      <c r="W147" s="120"/>
      <c r="X147" s="120"/>
      <c r="Y147" s="120"/>
      <c r="Z147" s="120"/>
      <c r="AA147" s="120"/>
      <c r="AB147" s="121"/>
      <c r="AC147" s="119" t="str">
        <f>IF([12]回答表!F17="下水道事業",IF([12]回答表!X45="●",[12]回答表!Y196,IF([12]回答表!AA45="●",[12]回答表!Y262,"")),"")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IF([12]回答表!F17="下水道事業",IF([12]回答表!X45="●",[12]回答表!Y198,IF([12]回答表!AA45="●",[12]回答表!Y264,"")),"")</f>
        <v/>
      </c>
      <c r="V153" s="120"/>
      <c r="W153" s="120"/>
      <c r="X153" s="120"/>
      <c r="Y153" s="120"/>
      <c r="Z153" s="120"/>
      <c r="AA153" s="120"/>
      <c r="AB153" s="121"/>
      <c r="AC153" s="119" t="str">
        <f>IF([12]回答表!F17="下水道事業",IF([12]回答表!X45="●",[12]回答表!Y199,IF([12]回答表!AA45="●",[12]回答表!Y265,"")),"")</f>
        <v/>
      </c>
      <c r="AD153" s="120"/>
      <c r="AE153" s="120"/>
      <c r="AF153" s="120"/>
      <c r="AG153" s="120"/>
      <c r="AH153" s="120"/>
      <c r="AI153" s="120"/>
      <c r="AJ153" s="121"/>
      <c r="AK153" s="119" t="str">
        <f>IF([12]回答表!F17="下水道事業",IF([12]回答表!X45="●",[12]回答表!Y200,IF([12]回答表!AA45="●",[12]回答表!Y266,"")),"")</f>
        <v/>
      </c>
      <c r="AL153" s="120"/>
      <c r="AM153" s="120"/>
      <c r="AN153" s="120"/>
      <c r="AO153" s="120"/>
      <c r="AP153" s="120"/>
      <c r="AQ153" s="120"/>
      <c r="AR153" s="121"/>
      <c r="AS153" s="119" t="str">
        <f>IF([12]回答表!F17="下水道事業",IF([12]回答表!X45="●",[12]回答表!Y201,IF([12]回答表!AA45="●",[12]回答表!Y267,"")),"")</f>
        <v/>
      </c>
      <c r="AT153" s="120"/>
      <c r="AU153" s="120"/>
      <c r="AV153" s="120"/>
      <c r="AW153" s="120"/>
      <c r="AX153" s="120"/>
      <c r="AY153" s="120"/>
      <c r="AZ153" s="121"/>
      <c r="BA153" s="119" t="str">
        <f>IF([12]回答表!F17="下水道事業",IF([12]回答表!X45="●",[12]回答表!Y202,IF([12]回答表!AA45="●",[12]回答表!Y268,"")),"")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IF([12]回答表!F17="下水道事業",IF([12]回答表!AA45="●","●",""),"")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IF([12]回答表!F17="下水道事業",IF([12]回答表!X45="●",[12]回答表!Y207,IF([12]回答表!AA45="●",[12]回答表!Y273,"")),"")</f>
        <v/>
      </c>
      <c r="V159" s="120"/>
      <c r="W159" s="120"/>
      <c r="X159" s="120"/>
      <c r="Y159" s="120"/>
      <c r="Z159" s="120"/>
      <c r="AA159" s="120"/>
      <c r="AB159" s="121"/>
      <c r="AC159" s="119" t="str">
        <f>IF([12]回答表!F17="下水道事業",IF([12]回答表!X45="●",[12]回答表!Y208,IF([12]回答表!AA45="●",[12]回答表!Y274,"")),"")</f>
        <v/>
      </c>
      <c r="AD159" s="120"/>
      <c r="AE159" s="120"/>
      <c r="AF159" s="120"/>
      <c r="AG159" s="120"/>
      <c r="AH159" s="120"/>
      <c r="AI159" s="120"/>
      <c r="AJ159" s="121"/>
      <c r="AK159" s="119" t="str">
        <f>IF([12]回答表!F17="下水道事業",IF([12]回答表!X45="●",[12]回答表!Y209,IF([12]回答表!AA45="●",[12]回答表!Y275,"")),"")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IF([12]回答表!F17="下水道事業",IF([12]回答表!AD45="●","●",""),"")</f>
        <v/>
      </c>
      <c r="O164" s="99"/>
      <c r="P164" s="99"/>
      <c r="Q164" s="100"/>
      <c r="R164" s="38"/>
      <c r="S164" s="38"/>
      <c r="T164" s="38"/>
      <c r="U164" s="107" t="str">
        <f>IF([12]回答表!F17="下水道事業",IF([12]回答表!AD45="●",[12]回答表!B289,""),"")</f>
        <v/>
      </c>
      <c r="V164" s="108"/>
      <c r="W164" s="108"/>
      <c r="X164" s="108"/>
      <c r="Y164" s="108"/>
      <c r="Z164" s="108"/>
      <c r="AA164" s="108"/>
      <c r="AB164" s="108"/>
      <c r="AC164" s="108"/>
      <c r="AD164" s="108"/>
      <c r="AE164" s="108"/>
      <c r="AF164" s="108"/>
      <c r="AG164" s="108"/>
      <c r="AH164" s="108"/>
      <c r="AI164" s="108"/>
      <c r="AJ164" s="109"/>
      <c r="AK164" s="55"/>
      <c r="AL164" s="55"/>
      <c r="AM164" s="107" t="str">
        <f>IF([12]回答表!F17="下水道事業",IF([12]回答表!AD45="●",[12]回答表!B295,""),"")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IF([12]回答表!BD17="●",IF([12]回答表!X45="●","●",""),"")</f>
        <v/>
      </c>
      <c r="O176" s="99"/>
      <c r="P176" s="99"/>
      <c r="Q176" s="100"/>
      <c r="R176" s="38"/>
      <c r="S176" s="38"/>
      <c r="T176" s="38"/>
      <c r="U176" s="107" t="str">
        <f>IF([12]回答表!BD17="●",IF([12]回答表!X45="●",[12]回答表!B158,IF([12]回答表!AA45="●",[12]回答表!B223,"")),"")</f>
        <v/>
      </c>
      <c r="V176" s="108"/>
      <c r="W176" s="108"/>
      <c r="X176" s="108"/>
      <c r="Y176" s="108"/>
      <c r="Z176" s="108"/>
      <c r="AA176" s="108"/>
      <c r="AB176" s="108"/>
      <c r="AC176" s="108"/>
      <c r="AD176" s="108"/>
      <c r="AE176" s="108"/>
      <c r="AF176" s="108"/>
      <c r="AG176" s="108"/>
      <c r="AH176" s="108"/>
      <c r="AI176" s="108"/>
      <c r="AJ176" s="109"/>
      <c r="AK176" s="49"/>
      <c r="AL176" s="49"/>
      <c r="AM176" s="116" t="str">
        <f>IF([12]回答表!BD17="●",IF([12]回答表!X45="●",[12]回答表!B212,IF([12]回答表!AA45="●",[12]回答表!B278,"")),"")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IF([12]回答表!BD17="●",IF([12]回答表!X45="●",[12]回答表!E212,IF([12]回答表!AA45="●",[12]回答表!E278,"")),"")</f>
        <v/>
      </c>
      <c r="AN179" s="84"/>
      <c r="AO179" s="84"/>
      <c r="AP179" s="84"/>
      <c r="AQ179" s="83" t="str">
        <f>IF([12]回答表!BD17="●",IF([12]回答表!X45="●",[12]回答表!E213,IF([12]回答表!AA45="●",[12]回答表!E279,"")),"")</f>
        <v/>
      </c>
      <c r="AR179" s="84"/>
      <c r="AS179" s="84"/>
      <c r="AT179" s="84"/>
      <c r="AU179" s="83" t="str">
        <f>IF([12]回答表!BD17="●",IF([12]回答表!X45="●",[12]回答表!E214,IF([12]回答表!AA45="●",[12]回答表!E280,"")),"")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IF([12]回答表!BD17="●",IF([12]回答表!AA45="●","●",""),"")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IF([12]回答表!BD17="●",IF([12]回答表!AD45="●","●",""),"")</f>
        <v/>
      </c>
      <c r="O188" s="99"/>
      <c r="P188" s="99"/>
      <c r="Q188" s="100"/>
      <c r="R188" s="38"/>
      <c r="S188" s="38"/>
      <c r="T188" s="38"/>
      <c r="U188" s="107" t="str">
        <f>IF([12]回答表!BD17="●",IF([12]回答表!AD45="●",[12]回答表!B289,""),"")</f>
        <v/>
      </c>
      <c r="V188" s="108"/>
      <c r="W188" s="108"/>
      <c r="X188" s="108"/>
      <c r="Y188" s="108"/>
      <c r="Z188" s="108"/>
      <c r="AA188" s="108"/>
      <c r="AB188" s="108"/>
      <c r="AC188" s="108"/>
      <c r="AD188" s="108"/>
      <c r="AE188" s="108"/>
      <c r="AF188" s="108"/>
      <c r="AG188" s="108"/>
      <c r="AH188" s="108"/>
      <c r="AI188" s="108"/>
      <c r="AJ188" s="109"/>
      <c r="AK188" s="55"/>
      <c r="AL188" s="55"/>
      <c r="AM188" s="107" t="str">
        <f>IF([12]回答表!BD17="●",IF([12]回答表!AD45="●",[12]回答表!B295,""),"")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IF([12]回答表!X46="●","●","")</f>
        <v/>
      </c>
      <c r="O200" s="99"/>
      <c r="P200" s="99"/>
      <c r="Q200" s="100"/>
      <c r="R200" s="38"/>
      <c r="S200" s="38"/>
      <c r="T200" s="38"/>
      <c r="U200" s="107" t="str">
        <f>IF([12]回答表!X46="●",[12]回答表!B307,IF([12]回答表!AA46="●",[12]回答表!B324,""))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IF([12]回答表!X46="●",[12]回答表!U313,IF([12]回答表!AA46="●",[12]回答表!U330,""))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IF([12]回答表!X46="●",[12]回答表!G313,IF([12]回答表!AA46="●",[12]回答表!G330,""))</f>
        <v/>
      </c>
      <c r="AN203" s="120"/>
      <c r="AO203" s="120"/>
      <c r="AP203" s="120"/>
      <c r="AQ203" s="120"/>
      <c r="AR203" s="120"/>
      <c r="AS203" s="120"/>
      <c r="AT203" s="121"/>
      <c r="AU203" s="119" t="str">
        <f>IF([12]回答表!X46="●",[12]回答表!G314,IF([12]回答表!AA46="●",[12]回答表!G331,""))</f>
        <v/>
      </c>
      <c r="AV203" s="120"/>
      <c r="AW203" s="120"/>
      <c r="AX203" s="120"/>
      <c r="AY203" s="120"/>
      <c r="AZ203" s="120"/>
      <c r="BA203" s="120"/>
      <c r="BB203" s="121"/>
      <c r="BC203" s="39"/>
      <c r="BD203" s="34"/>
      <c r="BE203" s="34"/>
      <c r="BF203" s="83" t="str">
        <f>IF([12]回答表!X46="●",[12]回答表!X313,IF([12]回答表!AA46="●",[12]回答表!X330,""))</f>
        <v/>
      </c>
      <c r="BG203" s="84"/>
      <c r="BH203" s="84"/>
      <c r="BI203" s="84"/>
      <c r="BJ203" s="83" t="str">
        <f>IF([12]回答表!X46="●",[12]回答表!X314,IF([12]回答表!AA46="●",[12]回答表!X331,""))</f>
        <v/>
      </c>
      <c r="BK203" s="84"/>
      <c r="BL203" s="84"/>
      <c r="BM203" s="87"/>
      <c r="BN203" s="83" t="str">
        <f>IF([12]回答表!X46="●",[12]回答表!X315,IF([12]回答表!AA46="●",[12]回答表!X332,""))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IF([12]回答表!AD46="●","●","")</f>
        <v/>
      </c>
      <c r="O212" s="99"/>
      <c r="P212" s="99"/>
      <c r="Q212" s="100"/>
      <c r="R212" s="38"/>
      <c r="S212" s="38"/>
      <c r="T212" s="38"/>
      <c r="U212" s="107" t="str">
        <f>IF([12]回答表!AD46="●",[12]回答表!B337,"")</f>
        <v/>
      </c>
      <c r="V212" s="108"/>
      <c r="W212" s="108"/>
      <c r="X212" s="108"/>
      <c r="Y212" s="108"/>
      <c r="Z212" s="108"/>
      <c r="AA212" s="108"/>
      <c r="AB212" s="108"/>
      <c r="AC212" s="108"/>
      <c r="AD212" s="108"/>
      <c r="AE212" s="108"/>
      <c r="AF212" s="108"/>
      <c r="AG212" s="108"/>
      <c r="AH212" s="108"/>
      <c r="AI212" s="108"/>
      <c r="AJ212" s="109"/>
      <c r="AK212" s="62"/>
      <c r="AL212" s="62"/>
      <c r="AM212" s="107" t="str">
        <f>IF([12]回答表!AD46="●",[12]回答表!B343,"")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IF([12]回答表!X47="●","●","")</f>
        <v/>
      </c>
      <c r="O224" s="99"/>
      <c r="P224" s="99"/>
      <c r="Q224" s="100"/>
      <c r="R224" s="38"/>
      <c r="S224" s="38"/>
      <c r="T224" s="38"/>
      <c r="U224" s="107" t="str">
        <f>IF([12]回答表!X47="●",[12]回答表!B356,IF([12]回答表!AA47="●",[12]回答表!B379,""))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IF([12]回答表!X47="●",[12]回答表!B362,"")</f>
        <v/>
      </c>
      <c r="AO224" s="182"/>
      <c r="AP224" s="182"/>
      <c r="AQ224" s="182"/>
      <c r="AR224" s="182"/>
      <c r="AS224" s="182"/>
      <c r="AT224" s="182"/>
      <c r="AU224" s="182"/>
      <c r="AV224" s="182"/>
      <c r="AW224" s="182"/>
      <c r="AX224" s="182"/>
      <c r="AY224" s="182"/>
      <c r="AZ224" s="182"/>
      <c r="BA224" s="182"/>
      <c r="BB224" s="183"/>
      <c r="BC224" s="39"/>
      <c r="BD224" s="34"/>
      <c r="BE224" s="34"/>
      <c r="BF224" s="116" t="str">
        <f>IF([12]回答表!X47="●",[12]回答表!B368,IF([12]回答表!AA47="●",[12]回答表!B385,""))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IF([12]回答表!X47="●",[12]回答表!E368,IF([12]回答表!AA47="●",[12]回答表!E385,""))</f>
        <v/>
      </c>
      <c r="BG227" s="84"/>
      <c r="BH227" s="84"/>
      <c r="BI227" s="84"/>
      <c r="BJ227" s="83" t="str">
        <f>IF([12]回答表!X47="●",[12]回答表!E369,IF([12]回答表!AA47="●",[12]回答表!E386,""))</f>
        <v/>
      </c>
      <c r="BK227" s="84"/>
      <c r="BL227" s="84"/>
      <c r="BM227" s="87"/>
      <c r="BN227" s="83" t="str">
        <f>IF([12]回答表!X47="●",[12]回答表!E370,IF([12]回答表!AA47="●",[12]回答表!E387,""))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IF([12]回答表!AD47="●","●","")</f>
        <v/>
      </c>
      <c r="O236" s="99"/>
      <c r="P236" s="99"/>
      <c r="Q236" s="100"/>
      <c r="R236" s="38"/>
      <c r="S236" s="38"/>
      <c r="T236" s="38"/>
      <c r="U236" s="107" t="str">
        <f>IF([12]回答表!AD47="●",[12]回答表!B392,"")</f>
        <v/>
      </c>
      <c r="V236" s="108"/>
      <c r="W236" s="108"/>
      <c r="X236" s="108"/>
      <c r="Y236" s="108"/>
      <c r="Z236" s="108"/>
      <c r="AA236" s="108"/>
      <c r="AB236" s="108"/>
      <c r="AC236" s="108"/>
      <c r="AD236" s="108"/>
      <c r="AE236" s="108"/>
      <c r="AF236" s="108"/>
      <c r="AG236" s="108"/>
      <c r="AH236" s="108"/>
      <c r="AI236" s="108"/>
      <c r="AJ236" s="109"/>
      <c r="AK236" s="62"/>
      <c r="AL236" s="62"/>
      <c r="AM236" s="107" t="str">
        <f>IF([12]回答表!AD47="●",[12]回答表!B398,"")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IF([12]回答表!X48="●","●","")</f>
        <v/>
      </c>
      <c r="O248" s="99"/>
      <c r="P248" s="99"/>
      <c r="Q248" s="100"/>
      <c r="R248" s="38"/>
      <c r="S248" s="38"/>
      <c r="T248" s="38"/>
      <c r="U248" s="107" t="str">
        <f>IF([12]回答表!X48="●",[12]回答表!B411,IF([12]回答表!AA48="●",[12]回答表!B425,""))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IF([12]回答表!X48="●",[12]回答表!BC418,IF([12]回答表!AA48="●",[12]回答表!BC432,""))</f>
        <v/>
      </c>
      <c r="AR248" s="151"/>
      <c r="AS248" s="151"/>
      <c r="AT248" s="151"/>
      <c r="AU248" s="173" t="s">
        <v>73</v>
      </c>
      <c r="AV248" s="174"/>
      <c r="AW248" s="174"/>
      <c r="AX248" s="175"/>
      <c r="AY248" s="151" t="str">
        <f>IF([12]回答表!X48="●",[12]回答表!BC423,IF([12]回答表!AA48="●",[12]回答表!BC437,""))</f>
        <v/>
      </c>
      <c r="AZ248" s="151"/>
      <c r="BA248" s="151"/>
      <c r="BB248" s="151"/>
      <c r="BC248" s="39"/>
      <c r="BD248" s="34"/>
      <c r="BE248" s="34"/>
      <c r="BF248" s="116" t="str">
        <f>IF([12]回答表!X48="●",[12]回答表!S417,IF([12]回答表!AA48="●",[12]回答表!S431,""))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IF([12]回答表!X48="●",[12]回答表!BC419,IF([12]回答表!AA48="●",[12]回答表!BC433,""))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IF([12]回答表!X48="●",[12]回答表!V417,IF([12]回答表!AA48="●",[12]回答表!V431,""))</f>
        <v/>
      </c>
      <c r="BG251" s="84"/>
      <c r="BH251" s="84"/>
      <c r="BI251" s="84"/>
      <c r="BJ251" s="83" t="str">
        <f>IF([12]回答表!X48="●",[12]回答表!V418,IF([12]回答表!AA48="●",[12]回答表!V432,""))</f>
        <v/>
      </c>
      <c r="BK251" s="84"/>
      <c r="BL251" s="84"/>
      <c r="BM251" s="87"/>
      <c r="BN251" s="83" t="str">
        <f>IF([12]回答表!X48="●",[12]回答表!V419,IF([12]回答表!AA48="●",[12]回答表!V433,""))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IF([12]回答表!X48="●",[12]回答表!BC420,IF([12]回答表!AA48="●",[12]回答表!BC434,""))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IF([12]回答表!X48="●",[12]回答表!BC424,IF([12]回答表!AA48="●",[12]回答表!BC438,""))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IF([12]回答表!X48="●",[12]回答表!BC421,IF([12]回答表!AA48="●",[12]回答表!BC435,""))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IF([12]回答表!X48="●",[12]回答表!BC422,IF([12]回答表!AA48="●",[12]回答表!BC436,""))</f>
        <v/>
      </c>
      <c r="AR256" s="151"/>
      <c r="AS256" s="151"/>
      <c r="AT256" s="151"/>
      <c r="AU256" s="152" t="s">
        <v>79</v>
      </c>
      <c r="AV256" s="153"/>
      <c r="AW256" s="153"/>
      <c r="AX256" s="154"/>
      <c r="AY256" s="158" t="str">
        <f>IF([12]回答表!X48="●",[12]回答表!BC425,IF([12]回答表!AA48="●",[12]回答表!BC439,""))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IF([12]回答表!AD48="●","●","")</f>
        <v/>
      </c>
      <c r="O260" s="99"/>
      <c r="P260" s="99"/>
      <c r="Q260" s="100"/>
      <c r="R260" s="38"/>
      <c r="S260" s="38"/>
      <c r="T260" s="38"/>
      <c r="U260" s="107" t="str">
        <f>IF([12]回答表!AD48="●",[12]回答表!B439,"")</f>
        <v/>
      </c>
      <c r="V260" s="108"/>
      <c r="W260" s="108"/>
      <c r="X260" s="108"/>
      <c r="Y260" s="108"/>
      <c r="Z260" s="108"/>
      <c r="AA260" s="108"/>
      <c r="AB260" s="108"/>
      <c r="AC260" s="108"/>
      <c r="AD260" s="108"/>
      <c r="AE260" s="108"/>
      <c r="AF260" s="108"/>
      <c r="AG260" s="108"/>
      <c r="AH260" s="108"/>
      <c r="AI260" s="108"/>
      <c r="AJ260" s="109"/>
      <c r="AK260" s="55"/>
      <c r="AL260" s="55"/>
      <c r="AM260" s="107" t="str">
        <f>IF([12]回答表!AD48="●",[12]回答表!B445,"")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IF([12]回答表!X49="●","●","")</f>
        <v/>
      </c>
      <c r="O271" s="99"/>
      <c r="P271" s="99"/>
      <c r="Q271" s="100"/>
      <c r="R271" s="38"/>
      <c r="S271" s="38"/>
      <c r="T271" s="38"/>
      <c r="U271" s="107" t="str">
        <f>IF([12]回答表!X49="●",[12]回答表!B458,IF([12]回答表!AA49="●",[12]回答表!B475,""))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IF([12]回答表!X49="●",[12]回答表!B468,IF([12]回答表!AA49="●",[12]回答表!B485,""))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IF([12]回答表!X49="●",[12]回答表!G464,IF([12]回答表!AA49="●",[12]回答表!G481,""))</f>
        <v/>
      </c>
      <c r="AN273" s="120"/>
      <c r="AO273" s="120"/>
      <c r="AP273" s="120"/>
      <c r="AQ273" s="120"/>
      <c r="AR273" s="120"/>
      <c r="AS273" s="120"/>
      <c r="AT273" s="121"/>
      <c r="AU273" s="119" t="str">
        <f>IF([12]回答表!X49="●",[12]回答表!G465,IF([12]回答表!AA49="●",[12]回答表!G482,""))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IF([12]回答表!X49="●",[12]回答表!E468,IF([12]回答表!AA49="●",[12]回答表!E485,""))</f>
        <v/>
      </c>
      <c r="BG274" s="84"/>
      <c r="BH274" s="84"/>
      <c r="BI274" s="84"/>
      <c r="BJ274" s="83" t="str">
        <f>IF([12]回答表!X49="●",[12]回答表!E469,IF([12]回答表!AA49="●",[12]回答表!E486,""))</f>
        <v/>
      </c>
      <c r="BK274" s="84"/>
      <c r="BL274" s="84"/>
      <c r="BM274" s="87"/>
      <c r="BN274" s="83" t="str">
        <f>IF([12]回答表!X49="●",[12]回答表!E470,IF([12]回答表!AA49="●",[12]回答表!E487,""))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IF([12]回答表!AD49="●","●","")</f>
        <v/>
      </c>
      <c r="O283" s="99"/>
      <c r="P283" s="99"/>
      <c r="Q283" s="100"/>
      <c r="R283" s="38"/>
      <c r="S283" s="38"/>
      <c r="T283" s="38"/>
      <c r="U283" s="107" t="str">
        <f>IF([12]回答表!AD49="●",[12]回答表!B492,"")</f>
        <v/>
      </c>
      <c r="V283" s="108"/>
      <c r="W283" s="108"/>
      <c r="X283" s="108"/>
      <c r="Y283" s="108"/>
      <c r="Z283" s="108"/>
      <c r="AA283" s="108"/>
      <c r="AB283" s="108"/>
      <c r="AC283" s="108"/>
      <c r="AD283" s="108"/>
      <c r="AE283" s="108"/>
      <c r="AF283" s="108"/>
      <c r="AG283" s="108"/>
      <c r="AH283" s="108"/>
      <c r="AI283" s="108"/>
      <c r="AJ283" s="109"/>
      <c r="AK283" s="49"/>
      <c r="AL283" s="49"/>
      <c r="AM283" s="107" t="str">
        <f>IF([12]回答表!AD49="●",[12]回答表!B498,"")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IF([12]回答表!R50="●",[12]回答表!B511,"")</f>
        <v>　病院事業管理者が公営企業としての経営責任の明確化を図り、行政から基本的に独立した企画感覚による経営を行っている。現在移行の考えはないが、あくまでも経営企業として健全な病院経営のために最善を尽くし、今後は2025年を見据えて経営形態の見直しの是非について検討するものとする。
　また、現時点で機能の定量的な基準がないため医療機関の自主的な判断に委ねられることから、人口構造及び疾病構造が変化していく中、体制を整えて行く必要がある。当面（計画期間中）は、現状を維持し、他の医療圏との関係性を保ちながら、将来の医療需要に見極めた対応をしていきます。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21" priority="2">
      <formula>$BB$25="○"</formula>
    </cfRule>
  </conditionalFormatting>
  <conditionalFormatting sqref="BD28:BD30">
    <cfRule type="expression" dxfId="20"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263D9-FC9E-4FB4-B244-4A9225406197}">
  <sheetPr>
    <pageSetUpPr fitToPage="1"/>
  </sheetPr>
  <dimension ref="A1:CN315"/>
  <sheetViews>
    <sheetView showZeros="0" view="pageBreakPreview" zoomScale="60" zoomScaleNormal="55" workbookViewId="0">
      <selection activeCell="AE30" sqref="AE30"/>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IF(COUNTIF([1]回答表!K15,"*")&gt;0,[1]回答表!K15,"")</f>
        <v>横手市</v>
      </c>
      <c r="D11" s="299"/>
      <c r="E11" s="299"/>
      <c r="F11" s="299"/>
      <c r="G11" s="299"/>
      <c r="H11" s="299"/>
      <c r="I11" s="299"/>
      <c r="J11" s="299"/>
      <c r="K11" s="299"/>
      <c r="L11" s="299"/>
      <c r="M11" s="299"/>
      <c r="N11" s="299"/>
      <c r="O11" s="299"/>
      <c r="P11" s="299"/>
      <c r="Q11" s="299"/>
      <c r="R11" s="299"/>
      <c r="S11" s="299"/>
      <c r="T11" s="299"/>
      <c r="U11" s="306" t="str">
        <f>IF(COUNTIF([1]回答表!F17,"*")&gt;0,[1]回答表!F17,"")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IF(COUNTIF([1]回答表!W17,"*")&gt;0,[1]回答表!W17,"")</f>
        <v>公共下水道</v>
      </c>
      <c r="AP11" s="301"/>
      <c r="AQ11" s="301"/>
      <c r="AR11" s="301"/>
      <c r="AS11" s="301"/>
      <c r="AT11" s="301"/>
      <c r="AU11" s="301"/>
      <c r="AV11" s="301"/>
      <c r="AW11" s="301"/>
      <c r="AX11" s="301"/>
      <c r="AY11" s="301"/>
      <c r="AZ11" s="301"/>
      <c r="BA11" s="301"/>
      <c r="BB11" s="301"/>
      <c r="BC11" s="301"/>
      <c r="BD11" s="301"/>
      <c r="BE11" s="301"/>
      <c r="BF11" s="302"/>
      <c r="BG11" s="305" t="str">
        <f>IF(COUNTIF([1]回答表!F19,"*")&gt;0,[1]回答表!F19,"")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IF([1]回答表!R43="●","●","")</f>
        <v/>
      </c>
      <c r="E24" s="123"/>
      <c r="F24" s="123"/>
      <c r="G24" s="123"/>
      <c r="H24" s="123"/>
      <c r="I24" s="123"/>
      <c r="J24" s="124"/>
      <c r="K24" s="122" t="str">
        <f>IF([1]回答表!R44="●","●","")</f>
        <v/>
      </c>
      <c r="L24" s="123"/>
      <c r="M24" s="123"/>
      <c r="N24" s="123"/>
      <c r="O24" s="123"/>
      <c r="P24" s="123"/>
      <c r="Q24" s="124"/>
      <c r="R24" s="122" t="str">
        <f>IF([1]回答表!R45="●","●","")</f>
        <v>●</v>
      </c>
      <c r="S24" s="123"/>
      <c r="T24" s="123"/>
      <c r="U24" s="123"/>
      <c r="V24" s="123"/>
      <c r="W24" s="123"/>
      <c r="X24" s="124"/>
      <c r="Y24" s="122" t="str">
        <f>IF([1]回答表!R46="●","●","")</f>
        <v/>
      </c>
      <c r="Z24" s="123"/>
      <c r="AA24" s="123"/>
      <c r="AB24" s="123"/>
      <c r="AC24" s="123"/>
      <c r="AD24" s="123"/>
      <c r="AE24" s="124"/>
      <c r="AF24" s="122" t="str">
        <f>IF([1]回答表!R47="●","●","")</f>
        <v>●</v>
      </c>
      <c r="AG24" s="123"/>
      <c r="AH24" s="123"/>
      <c r="AI24" s="123"/>
      <c r="AJ24" s="123"/>
      <c r="AK24" s="123"/>
      <c r="AL24" s="124"/>
      <c r="AM24" s="122" t="str">
        <f>IF([1]回答表!R48="●","●","")</f>
        <v/>
      </c>
      <c r="AN24" s="123"/>
      <c r="AO24" s="123"/>
      <c r="AP24" s="123"/>
      <c r="AQ24" s="123"/>
      <c r="AR24" s="123"/>
      <c r="AS24" s="124"/>
      <c r="AT24" s="122" t="str">
        <f>IF([1]回答表!R49="●","●","")</f>
        <v/>
      </c>
      <c r="AU24" s="123"/>
      <c r="AV24" s="123"/>
      <c r="AW24" s="123"/>
      <c r="AX24" s="123"/>
      <c r="AY24" s="123"/>
      <c r="AZ24" s="124"/>
      <c r="BA24" s="18"/>
      <c r="BB24" s="119" t="str">
        <f>IF([1]回答表!R50="●","●","")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IF([1]回答表!X43="●","●","")</f>
        <v/>
      </c>
      <c r="O36" s="99"/>
      <c r="P36" s="99"/>
      <c r="Q36" s="100"/>
      <c r="R36" s="38"/>
      <c r="S36" s="38"/>
      <c r="T36" s="38"/>
      <c r="U36" s="107" t="str">
        <f>IF([1]回答表!X43="●",[1]回答表!B59,IF([1]回答表!AA43="●",[1]回答表!B79,""))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IF([1]回答表!X43="●",[1]回答表!S65,IF([1]回答表!AA43="●",[1]回答表!S85,""))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IF([1]回答表!X43="●",[1]回答表!G65,IF([1]回答表!AA43="●",[1]回答表!G85,""))</f>
        <v/>
      </c>
      <c r="AN38" s="120"/>
      <c r="AO38" s="120"/>
      <c r="AP38" s="120"/>
      <c r="AQ38" s="120"/>
      <c r="AR38" s="120"/>
      <c r="AS38" s="120"/>
      <c r="AT38" s="121"/>
      <c r="AU38" s="119" t="str">
        <f>IF([1]回答表!X43="●",[1]回答表!G66,IF([1]回答表!AA43="●",[1]回答表!G86,""))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IF([1]回答表!X43="●",[1]回答表!V65,IF([1]回答表!AA43="●",[1]回答表!V85,""))</f>
        <v/>
      </c>
      <c r="BG39" s="249"/>
      <c r="BH39" s="249"/>
      <c r="BI39" s="250"/>
      <c r="BJ39" s="83" t="str">
        <f>IF([1]回答表!X43="●",[1]回答表!V66,IF([1]回答表!AA43="●",[1]回答表!V86,""))</f>
        <v/>
      </c>
      <c r="BK39" s="249"/>
      <c r="BL39" s="249"/>
      <c r="BM39" s="250"/>
      <c r="BN39" s="83" t="str">
        <f>IF([1]回答表!X43="●",[1]回答表!V67,IF([1]回答表!AA43="●",[1]回答表!V87,""))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IF([1]回答表!X43="●",[1]回答表!O71,IF([1]回答表!AA43="●",[1]回答表!O91,""))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IF([1]回答表!X43="●",[1]回答表!O72,IF([1]回答表!AA43="●",[1]回答表!O92,""))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IF([1]回答表!X43="●",[1]回答表!O73,IF([1]回答表!AA43="●",[1]回答表!O93,""))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IF([1]回答表!X43="●",[1]回答表!O74,IF([1]回答表!AA43="●",[1]回答表!O94,""))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IF([1]回答表!X43="●",[1]回答表!AG71,IF([1]回答表!AA43="●",[1]回答表!AG91,""))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IF([1]回答表!X43="●",[1]回答表!AG72,IF([1]回答表!AA43="●",[1]回答表!AG92,""))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IF([1]回答表!AD43="●","●","")</f>
        <v/>
      </c>
      <c r="O51" s="99"/>
      <c r="P51" s="99"/>
      <c r="Q51" s="100"/>
      <c r="R51" s="38"/>
      <c r="S51" s="38"/>
      <c r="T51" s="38"/>
      <c r="U51" s="107" t="str">
        <f>IF([1]回答表!AD43="●",[1]回答表!B99,"")</f>
        <v/>
      </c>
      <c r="V51" s="108"/>
      <c r="W51" s="108"/>
      <c r="X51" s="108"/>
      <c r="Y51" s="108"/>
      <c r="Z51" s="108"/>
      <c r="AA51" s="108"/>
      <c r="AB51" s="108"/>
      <c r="AC51" s="108"/>
      <c r="AD51" s="108"/>
      <c r="AE51" s="108"/>
      <c r="AF51" s="108"/>
      <c r="AG51" s="108"/>
      <c r="AH51" s="108"/>
      <c r="AI51" s="108"/>
      <c r="AJ51" s="109"/>
      <c r="AK51" s="55"/>
      <c r="AL51" s="55"/>
      <c r="AM51" s="107" t="str">
        <f>IF([1]回答表!AD43="●",[1]回答表!B104,"")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IF([1]回答表!X44="●","●","")</f>
        <v/>
      </c>
      <c r="O62" s="99"/>
      <c r="P62" s="99"/>
      <c r="Q62" s="100"/>
      <c r="R62" s="38"/>
      <c r="S62" s="38"/>
      <c r="T62" s="38"/>
      <c r="U62" s="107" t="str">
        <f>IF([1]回答表!X44="●",[1]回答表!B115,IF([1]回答表!AA44="●",[1]回答表!B127,""))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IF([1]回答表!X44="●",[1]回答表!S121,IF([1]回答表!AA44="●",[1]回答表!S133,""))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IF([1]回答表!X44="●",[1]回答表!J121,IF([1]回答表!AA44="●",[1]回答表!J133,""))</f>
        <v/>
      </c>
      <c r="AN65" s="120"/>
      <c r="AO65" s="120"/>
      <c r="AP65" s="120"/>
      <c r="AQ65" s="120"/>
      <c r="AR65" s="120"/>
      <c r="AS65" s="120"/>
      <c r="AT65" s="121"/>
      <c r="AU65" s="119" t="str">
        <f>IF([1]回答表!X44="●",[1]回答表!J122,IF([1]回答表!AA44="●",[1]回答表!J134,""))</f>
        <v/>
      </c>
      <c r="AV65" s="120"/>
      <c r="AW65" s="120"/>
      <c r="AX65" s="120"/>
      <c r="AY65" s="120"/>
      <c r="AZ65" s="120"/>
      <c r="BA65" s="120"/>
      <c r="BB65" s="121"/>
      <c r="BC65" s="39"/>
      <c r="BD65" s="34"/>
      <c r="BE65" s="34"/>
      <c r="BF65" s="83" t="str">
        <f>IF([1]回答表!X44="●",[1]回答表!V121,IF([1]回答表!AA44="●",[1]回答表!V133,""))</f>
        <v/>
      </c>
      <c r="BG65" s="84"/>
      <c r="BH65" s="84"/>
      <c r="BI65" s="84"/>
      <c r="BJ65" s="83" t="str">
        <f>IF([1]回答表!X44="●",[1]回答表!V122,IF([1]回答表!AA44="●",[1]回答表!V134,""))</f>
        <v/>
      </c>
      <c r="BK65" s="84"/>
      <c r="BL65" s="84"/>
      <c r="BM65" s="84"/>
      <c r="BN65" s="83" t="str">
        <f>IF([1]回答表!X44="●",[1]回答表!V123,IF([1]回答表!AA44="●",[1]回答表!V135,""))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IF([1]回答表!AD44="●","●","")</f>
        <v/>
      </c>
      <c r="O74" s="99"/>
      <c r="P74" s="99"/>
      <c r="Q74" s="100"/>
      <c r="R74" s="38"/>
      <c r="S74" s="38"/>
      <c r="T74" s="38"/>
      <c r="U74" s="107" t="str">
        <f>IF([1]回答表!AD44="●",[1]回答表!B140,"")</f>
        <v/>
      </c>
      <c r="V74" s="108"/>
      <c r="W74" s="108"/>
      <c r="X74" s="108"/>
      <c r="Y74" s="108"/>
      <c r="Z74" s="108"/>
      <c r="AA74" s="108"/>
      <c r="AB74" s="108"/>
      <c r="AC74" s="108"/>
      <c r="AD74" s="108"/>
      <c r="AE74" s="108"/>
      <c r="AF74" s="108"/>
      <c r="AG74" s="108"/>
      <c r="AH74" s="108"/>
      <c r="AI74" s="108"/>
      <c r="AJ74" s="109"/>
      <c r="AK74" s="55"/>
      <c r="AL74" s="55"/>
      <c r="AM74" s="107" t="str">
        <f>IF([1]回答表!AD44="●",[1]回答表!B146,"")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IF([1]回答表!F17="水道事業",IF([1]回答表!X45="●","●",""),"")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IF([1]回答表!F17="水道事業",IF([1]回答表!X45="●",[1]回答表!B158,IF([1]回答表!AA45="●",[1]回答表!B223,"")),"")</f>
        <v/>
      </c>
      <c r="AN86" s="212"/>
      <c r="AO86" s="212"/>
      <c r="AP86" s="212"/>
      <c r="AQ86" s="212"/>
      <c r="AR86" s="212"/>
      <c r="AS86" s="212"/>
      <c r="AT86" s="212"/>
      <c r="AU86" s="212"/>
      <c r="AV86" s="212"/>
      <c r="AW86" s="212"/>
      <c r="AX86" s="212"/>
      <c r="AY86" s="212"/>
      <c r="AZ86" s="212"/>
      <c r="BA86" s="212"/>
      <c r="BB86" s="212"/>
      <c r="BC86" s="213"/>
      <c r="BD86" s="34"/>
      <c r="BE86" s="34"/>
      <c r="BF86" s="116" t="str">
        <f>IF([1]回答表!F17="水道事業",IF([1]回答表!X45="●",[1]回答表!B212,IF([1]回答表!AA45="●",[1]回答表!B278,"")),"")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IF([1]回答表!F17="水道事業",IF([1]回答表!X45="●",[1]回答表!J166,IF([1]回答表!AA45="●",[1]回答表!J231,"")),"")</f>
        <v/>
      </c>
      <c r="V88" s="120"/>
      <c r="W88" s="120"/>
      <c r="X88" s="120"/>
      <c r="Y88" s="120"/>
      <c r="Z88" s="120"/>
      <c r="AA88" s="120"/>
      <c r="AB88" s="121"/>
      <c r="AC88" s="119" t="str">
        <f>IF([1]回答表!F17="水道事業",IF([1]回答表!X45="●",[1]回答表!J173,IF([1]回答表!AA45="●",[1]回答表!J238,"")),"")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IF([1]回答表!F17="水道事業",IF([1]回答表!X45="●",[1]回答表!E212,IF([1]回答表!AA45="●",[1]回答表!E278,"")),"")</f>
        <v/>
      </c>
      <c r="BG89" s="84"/>
      <c r="BH89" s="84"/>
      <c r="BI89" s="84"/>
      <c r="BJ89" s="83" t="str">
        <f>IF([1]回答表!F17="水道事業",IF([1]回答表!X45="●",[1]回答表!E213,IF([1]回答表!AA45="●",[1]回答表!E279,"")),"")</f>
        <v/>
      </c>
      <c r="BK89" s="84"/>
      <c r="BL89" s="84"/>
      <c r="BM89" s="84"/>
      <c r="BN89" s="83" t="str">
        <f>IF([1]回答表!F17="水道事業",IF([1]回答表!X45="●",[1]回答表!E214,IF([1]回答表!AA45="●",[1]回答表!E280,"")),"")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IF([1]回答表!F17="水道事業",IF([1]回答表!AA45="●","●",""),"")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IF([1]回答表!F17="水道事業",IF([1]回答表!X45="●",[1]回答表!J176,IF([1]回答表!AA45="●",[1]回答表!J241,"")),"")</f>
        <v/>
      </c>
      <c r="V93" s="120"/>
      <c r="W93" s="120"/>
      <c r="X93" s="120"/>
      <c r="Y93" s="120"/>
      <c r="Z93" s="120"/>
      <c r="AA93" s="120"/>
      <c r="AB93" s="121"/>
      <c r="AC93" s="119" t="str">
        <f>IF([1]回答表!F17="水道事業",IF([1]回答表!X45="●",[1]回答表!J180,IF([1]回答表!AA45="●",[1]回答表!J245,"")),"")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IF([1]回答表!F17="水道事業",IF([1]回答表!AD45="○","○",""),"")</f>
        <v/>
      </c>
      <c r="O98" s="99"/>
      <c r="P98" s="99"/>
      <c r="Q98" s="100"/>
      <c r="R98" s="38"/>
      <c r="S98" s="38"/>
      <c r="T98" s="38"/>
      <c r="U98" s="107" t="str">
        <f>IF([1]回答表!F17="水道事業",IF([1]回答表!AD45="●",[1]回答表!B289,""),"")</f>
        <v/>
      </c>
      <c r="V98" s="108"/>
      <c r="W98" s="108"/>
      <c r="X98" s="108"/>
      <c r="Y98" s="108"/>
      <c r="Z98" s="108"/>
      <c r="AA98" s="108"/>
      <c r="AB98" s="108"/>
      <c r="AC98" s="108"/>
      <c r="AD98" s="108"/>
      <c r="AE98" s="108"/>
      <c r="AF98" s="108"/>
      <c r="AG98" s="108"/>
      <c r="AH98" s="108"/>
      <c r="AI98" s="108"/>
      <c r="AJ98" s="109"/>
      <c r="AK98" s="55"/>
      <c r="AL98" s="55"/>
      <c r="AM98" s="107" t="str">
        <f>IF([1]回答表!F17="水道事業",IF([1]回答表!AD45="●",[1]回答表!B295,""),"")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IF([1]回答表!F17="簡易水道事業",IF([1]回答表!X45="●",[1]回答表!B158,IF([1]回答表!AA45="●",[1]回答表!B223,"")),"")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IF([1]回答表!F17="簡易水道事業",IF([1]回答表!X45="●",[1]回答表!B212,IF([1]回答表!AA45="●",[1]回答表!B278,"")),"")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IF([1]回答表!F17="簡易水道事業",IF([1]回答表!X45="●","●",""),"")</f>
        <v/>
      </c>
      <c r="O112" s="99"/>
      <c r="P112" s="99"/>
      <c r="Q112" s="100"/>
      <c r="R112" s="38"/>
      <c r="S112" s="38"/>
      <c r="T112" s="38"/>
      <c r="U112" s="119" t="str">
        <f>IF([1]回答表!F17="簡易水道事業",IF([1]回答表!X45="●",[1]回答表!Y185,IF([1]回答表!AA45="●",[1]回答表!Y251,"")),"")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IF([1]回答表!F17="簡易水道事業",IF([1]回答表!X45="●",[1]回答表!E212,IF([1]回答表!AA45="●",[1]回答表!E278,"")),"")</f>
        <v/>
      </c>
      <c r="BG113" s="84"/>
      <c r="BH113" s="84"/>
      <c r="BI113" s="84"/>
      <c r="BJ113" s="83" t="str">
        <f>IF([1]回答表!F17="簡易水道事業",IF([1]回答表!X45="●",[1]回答表!E213,IF([1]回答表!AA45="●",[1]回答表!E279,"")),"")</f>
        <v/>
      </c>
      <c r="BK113" s="84"/>
      <c r="BL113" s="84"/>
      <c r="BM113" s="84"/>
      <c r="BN113" s="83" t="str">
        <f>IF([1]回答表!F17="簡易水道事業",IF([1]回答表!X45="●",[1]回答表!E214,IF([1]回答表!AA45="●",[1]回答表!E280,"")),"")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IF([1]回答表!F17="簡易水道事業",IF([1]回答表!X45="●",[1]回答表!Y186,IF([1]回答表!AA45="●",[1]回答表!Y252,"")),"")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IF([1]回答表!F17="簡易水道事業",IF([1]回答表!AA45="●","●",""),"")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IF([1]回答表!F17="簡易水道事業",IF([1]回答表!X45="●",[1]回答表!Y187,IF([1]回答表!AA45="●",[1]回答表!Y253,"")),"")</f>
        <v/>
      </c>
      <c r="V122" s="120"/>
      <c r="W122" s="120"/>
      <c r="X122" s="120"/>
      <c r="Y122" s="120"/>
      <c r="Z122" s="120"/>
      <c r="AA122" s="120"/>
      <c r="AB122" s="120"/>
      <c r="AC122" s="120"/>
      <c r="AD122" s="120"/>
      <c r="AE122" s="120"/>
      <c r="AF122" s="120"/>
      <c r="AG122" s="120"/>
      <c r="AH122" s="120"/>
      <c r="AI122" s="120"/>
      <c r="AJ122" s="121"/>
      <c r="AK122" s="18"/>
      <c r="AL122" s="18"/>
      <c r="AM122" s="228" t="str">
        <f>IF([1]回答表!F17="簡易水道事業",IF([1]回答表!X45="●",[1]回答表!Y189,IF([1]回答表!AA45="●",[1]回答表!Y255,"")),"")</f>
        <v/>
      </c>
      <c r="AN122" s="228"/>
      <c r="AO122" s="228"/>
      <c r="AP122" s="228"/>
      <c r="AQ122" s="228"/>
      <c r="AR122" s="228"/>
      <c r="AS122" s="228" t="str">
        <f>IF([1]回答表!F17="簡易水道事業",IF([1]回答表!X45="●",[1]回答表!Y190,IF([1]回答表!AA45="●",[1]回答表!Y256,"")),"")</f>
        <v/>
      </c>
      <c r="AT122" s="228"/>
      <c r="AU122" s="228"/>
      <c r="AV122" s="228"/>
      <c r="AW122" s="228"/>
      <c r="AX122" s="228"/>
      <c r="AY122" s="228" t="str">
        <f>IF([1]回答表!F17="簡易水道事業",IF([1]回答表!X45="●",[1]回答表!Y191,IF([1]回答表!AA45="●",[1]回答表!Y257,"")),"")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IF([1]回答表!F17="簡易水道事業",IF([1]回答表!AD45="●","●",""),"")</f>
        <v/>
      </c>
      <c r="O127" s="99"/>
      <c r="P127" s="99"/>
      <c r="Q127" s="100"/>
      <c r="R127" s="38"/>
      <c r="S127" s="38"/>
      <c r="T127" s="38"/>
      <c r="U127" s="107" t="str">
        <f>IF([1]回答表!F17="簡易水道事業",IF([1]回答表!AD45="●",[1]回答表!B289,""),"")</f>
        <v/>
      </c>
      <c r="V127" s="108"/>
      <c r="W127" s="108"/>
      <c r="X127" s="108"/>
      <c r="Y127" s="108"/>
      <c r="Z127" s="108"/>
      <c r="AA127" s="108"/>
      <c r="AB127" s="108"/>
      <c r="AC127" s="108"/>
      <c r="AD127" s="108"/>
      <c r="AE127" s="108"/>
      <c r="AF127" s="108"/>
      <c r="AG127" s="108"/>
      <c r="AH127" s="108"/>
      <c r="AI127" s="108"/>
      <c r="AJ127" s="109"/>
      <c r="AK127" s="55"/>
      <c r="AL127" s="55"/>
      <c r="AM127" s="107" t="str">
        <f>IF([1]回答表!F17="簡易水道事業",IF([1]回答表!AD45="●",[1]回答表!B295,""),"")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IF([1]回答表!F17="下水道事業",IF([1]回答表!X45="●","●",""),"")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IF([1]回答表!F17="下水道事業",IF([1]回答表!X45="●",[1]回答表!B158,IF([1]回答表!AA45="●",[1]回答表!B223,"")),"")</f>
        <v>汚水処理施設の統廃合（単独公共下水道を流域関連公共下水道に接続する。）</v>
      </c>
      <c r="AN139" s="212"/>
      <c r="AO139" s="212"/>
      <c r="AP139" s="212"/>
      <c r="AQ139" s="212"/>
      <c r="AR139" s="212"/>
      <c r="AS139" s="212"/>
      <c r="AT139" s="212"/>
      <c r="AU139" s="212"/>
      <c r="AV139" s="212"/>
      <c r="AW139" s="212"/>
      <c r="AX139" s="212"/>
      <c r="AY139" s="212"/>
      <c r="AZ139" s="212"/>
      <c r="BA139" s="212"/>
      <c r="BB139" s="212"/>
      <c r="BC139" s="213"/>
      <c r="BD139" s="34"/>
      <c r="BE139" s="34"/>
      <c r="BF139" s="116" t="str">
        <f>IF([1]回答表!F17="下水道事業",IF([1]回答表!X45="●",[1]回答表!B212,IF([1]回答表!AA45="●",[1]回答表!B278,"")),"")</f>
        <v>令和</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IF([1]回答表!F17="下水道事業",IF([1]回答表!X45="●",[1]回答表!Y193,IF([1]回答表!AA45="●",[1]回答表!Y259,"")),"")</f>
        <v>●</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IF([1]回答表!F17="下水道事業",IF([1]回答表!X45="●",[1]回答表!E212,IF([1]回答表!AA45="●",[1]回答表!E278,"")),"")</f>
        <v>5</v>
      </c>
      <c r="BG142" s="84"/>
      <c r="BH142" s="84"/>
      <c r="BI142" s="84"/>
      <c r="BJ142" s="83">
        <f>IF([1]回答表!F17="下水道事業",IF([1]回答表!X45="●",[1]回答表!E213,IF([1]回答表!AA45="●",[1]回答表!E279,"")),"")</f>
        <v>3</v>
      </c>
      <c r="BK142" s="84"/>
      <c r="BL142" s="84"/>
      <c r="BM142" s="84"/>
      <c r="BN142" s="83">
        <f>IF([1]回答表!F17="下水道事業",IF([1]回答表!X45="●",[1]回答表!E214,IF([1]回答表!AA45="●",[1]回答表!E280,"")),"")</f>
        <v>31</v>
      </c>
      <c r="BO142" s="84"/>
      <c r="BP142" s="84"/>
      <c r="BQ142" s="87"/>
      <c r="BR142" s="37"/>
      <c r="BX142" s="211" t="str">
        <f>IF([1]回答表!AQ20="下水道事業",IF([1]回答表!BI48="○",[1]回答表!AM161,IF([1]回答表!BL48="○",[1]回答表!AM226,"")),"")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IF([1]回答表!F17="下水道事業",IF([1]回答表!X45="●",[1]回答表!Y195,IF([1]回答表!AA45="●",[1]回答表!Y261,"")),"")</f>
        <v xml:space="preserve"> </v>
      </c>
      <c r="V147" s="120"/>
      <c r="W147" s="120"/>
      <c r="X147" s="120"/>
      <c r="Y147" s="120"/>
      <c r="Z147" s="120"/>
      <c r="AA147" s="120"/>
      <c r="AB147" s="121"/>
      <c r="AC147" s="119" t="str">
        <f>IF([1]回答表!F17="下水道事業",IF([1]回答表!X45="●",[1]回答表!Y196,IF([1]回答表!AA45="●",[1]回答表!Y262,"")),"")</f>
        <v>●</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IF([1]回答表!F17="下水道事業",IF([1]回答表!X45="●",[1]回答表!Y198,IF([1]回答表!AA45="●",[1]回答表!Y264,"")),"")</f>
        <v>●</v>
      </c>
      <c r="V153" s="120"/>
      <c r="W153" s="120"/>
      <c r="X153" s="120"/>
      <c r="Y153" s="120"/>
      <c r="Z153" s="120"/>
      <c r="AA153" s="120"/>
      <c r="AB153" s="121"/>
      <c r="AC153" s="119" t="str">
        <f>IF([1]回答表!F17="下水道事業",IF([1]回答表!X45="●",[1]回答表!Y199,IF([1]回答表!AA45="●",[1]回答表!Y265,"")),"")</f>
        <v xml:space="preserve"> </v>
      </c>
      <c r="AD153" s="120"/>
      <c r="AE153" s="120"/>
      <c r="AF153" s="120"/>
      <c r="AG153" s="120"/>
      <c r="AH153" s="120"/>
      <c r="AI153" s="120"/>
      <c r="AJ153" s="121"/>
      <c r="AK153" s="119" t="str">
        <f>IF([1]回答表!F17="下水道事業",IF([1]回答表!X45="●",[1]回答表!Y200,IF([1]回答表!AA45="●",[1]回答表!Y266,"")),"")</f>
        <v xml:space="preserve"> </v>
      </c>
      <c r="AL153" s="120"/>
      <c r="AM153" s="120"/>
      <c r="AN153" s="120"/>
      <c r="AO153" s="120"/>
      <c r="AP153" s="120"/>
      <c r="AQ153" s="120"/>
      <c r="AR153" s="121"/>
      <c r="AS153" s="119" t="str">
        <f>IF([1]回答表!F17="下水道事業",IF([1]回答表!X45="●",[1]回答表!Y201,IF([1]回答表!AA45="●",[1]回答表!Y267,"")),"")</f>
        <v xml:space="preserve"> </v>
      </c>
      <c r="AT153" s="120"/>
      <c r="AU153" s="120"/>
      <c r="AV153" s="120"/>
      <c r="AW153" s="120"/>
      <c r="AX153" s="120"/>
      <c r="AY153" s="120"/>
      <c r="AZ153" s="121"/>
      <c r="BA153" s="119" t="str">
        <f>IF([1]回答表!F17="下水道事業",IF([1]回答表!X45="●",[1]回答表!Y202,IF([1]回答表!AA45="●",[1]回答表!Y268,"")),"")</f>
        <v xml:space="preserve">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IF([1]回答表!F17="下水道事業",IF([1]回答表!AA45="●","●",""),"")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IF([1]回答表!F17="下水道事業",IF([1]回答表!X45="●",[1]回答表!Y207,IF([1]回答表!AA45="●",[1]回答表!Y273,"")),"")</f>
        <v xml:space="preserve"> </v>
      </c>
      <c r="V159" s="120"/>
      <c r="W159" s="120"/>
      <c r="X159" s="120"/>
      <c r="Y159" s="120"/>
      <c r="Z159" s="120"/>
      <c r="AA159" s="120"/>
      <c r="AB159" s="121"/>
      <c r="AC159" s="119" t="str">
        <f>IF([1]回答表!F17="下水道事業",IF([1]回答表!X45="●",[1]回答表!Y208,IF([1]回答表!AA45="●",[1]回答表!Y274,"")),"")</f>
        <v xml:space="preserve"> </v>
      </c>
      <c r="AD159" s="120"/>
      <c r="AE159" s="120"/>
      <c r="AF159" s="120"/>
      <c r="AG159" s="120"/>
      <c r="AH159" s="120"/>
      <c r="AI159" s="120"/>
      <c r="AJ159" s="121"/>
      <c r="AK159" s="119" t="str">
        <f>IF([1]回答表!F17="下水道事業",IF([1]回答表!X45="●",[1]回答表!Y209,IF([1]回答表!AA45="●",[1]回答表!Y275,"")),"")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IF([1]回答表!F17="下水道事業",IF([1]回答表!AD45="●","●",""),"")</f>
        <v/>
      </c>
      <c r="O164" s="99"/>
      <c r="P164" s="99"/>
      <c r="Q164" s="100"/>
      <c r="R164" s="38"/>
      <c r="S164" s="38"/>
      <c r="T164" s="38"/>
      <c r="U164" s="107" t="str">
        <f>IF([1]回答表!F17="下水道事業",IF([1]回答表!AD45="●",[1]回答表!B289,""),"")</f>
        <v/>
      </c>
      <c r="V164" s="108"/>
      <c r="W164" s="108"/>
      <c r="X164" s="108"/>
      <c r="Y164" s="108"/>
      <c r="Z164" s="108"/>
      <c r="AA164" s="108"/>
      <c r="AB164" s="108"/>
      <c r="AC164" s="108"/>
      <c r="AD164" s="108"/>
      <c r="AE164" s="108"/>
      <c r="AF164" s="108"/>
      <c r="AG164" s="108"/>
      <c r="AH164" s="108"/>
      <c r="AI164" s="108"/>
      <c r="AJ164" s="109"/>
      <c r="AK164" s="55"/>
      <c r="AL164" s="55"/>
      <c r="AM164" s="107" t="str">
        <f>IF([1]回答表!F17="下水道事業",IF([1]回答表!AD45="●",[1]回答表!B295,""),"")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IF([1]回答表!BD17="●",IF([1]回答表!X45="●","●",""),"")</f>
        <v/>
      </c>
      <c r="O176" s="99"/>
      <c r="P176" s="99"/>
      <c r="Q176" s="100"/>
      <c r="R176" s="38"/>
      <c r="S176" s="38"/>
      <c r="T176" s="38"/>
      <c r="U176" s="107" t="str">
        <f>IF([1]回答表!BD17="●",IF([1]回答表!X45="●",[1]回答表!B158,IF([1]回答表!AA45="●",[1]回答表!B223,"")),"")</f>
        <v/>
      </c>
      <c r="V176" s="108"/>
      <c r="W176" s="108"/>
      <c r="X176" s="108"/>
      <c r="Y176" s="108"/>
      <c r="Z176" s="108"/>
      <c r="AA176" s="108"/>
      <c r="AB176" s="108"/>
      <c r="AC176" s="108"/>
      <c r="AD176" s="108"/>
      <c r="AE176" s="108"/>
      <c r="AF176" s="108"/>
      <c r="AG176" s="108"/>
      <c r="AH176" s="108"/>
      <c r="AI176" s="108"/>
      <c r="AJ176" s="109"/>
      <c r="AK176" s="49"/>
      <c r="AL176" s="49"/>
      <c r="AM176" s="116" t="str">
        <f>IF([1]回答表!BD17="●",IF([1]回答表!X45="●",[1]回答表!B212,IF([1]回答表!AA45="●",[1]回答表!B278,"")),"")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IF([1]回答表!BD17="●",IF([1]回答表!X45="●",[1]回答表!E212,IF([1]回答表!AA45="●",[1]回答表!E278,"")),"")</f>
        <v/>
      </c>
      <c r="AN179" s="84"/>
      <c r="AO179" s="84"/>
      <c r="AP179" s="84"/>
      <c r="AQ179" s="83" t="str">
        <f>IF([1]回答表!BD17="●",IF([1]回答表!X45="●",[1]回答表!E213,IF([1]回答表!AA45="●",[1]回答表!E279,"")),"")</f>
        <v/>
      </c>
      <c r="AR179" s="84"/>
      <c r="AS179" s="84"/>
      <c r="AT179" s="84"/>
      <c r="AU179" s="83" t="str">
        <f>IF([1]回答表!BD17="●",IF([1]回答表!X45="●",[1]回答表!E214,IF([1]回答表!AA45="●",[1]回答表!E280,"")),"")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IF([1]回答表!BD17="●",IF([1]回答表!AA45="●","●",""),"")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IF([1]回答表!BD17="●",IF([1]回答表!AD45="●","●",""),"")</f>
        <v/>
      </c>
      <c r="O188" s="99"/>
      <c r="P188" s="99"/>
      <c r="Q188" s="100"/>
      <c r="R188" s="38"/>
      <c r="S188" s="38"/>
      <c r="T188" s="38"/>
      <c r="U188" s="107" t="str">
        <f>IF([1]回答表!BD17="●",IF([1]回答表!AD45="●",[1]回答表!B289,""),"")</f>
        <v/>
      </c>
      <c r="V188" s="108"/>
      <c r="W188" s="108"/>
      <c r="X188" s="108"/>
      <c r="Y188" s="108"/>
      <c r="Z188" s="108"/>
      <c r="AA188" s="108"/>
      <c r="AB188" s="108"/>
      <c r="AC188" s="108"/>
      <c r="AD188" s="108"/>
      <c r="AE188" s="108"/>
      <c r="AF188" s="108"/>
      <c r="AG188" s="108"/>
      <c r="AH188" s="108"/>
      <c r="AI188" s="108"/>
      <c r="AJ188" s="109"/>
      <c r="AK188" s="55"/>
      <c r="AL188" s="55"/>
      <c r="AM188" s="107" t="str">
        <f>IF([1]回答表!BD17="●",IF([1]回答表!AD45="●",[1]回答表!B295,""),"")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IF([1]回答表!X46="●","●","")</f>
        <v/>
      </c>
      <c r="O200" s="99"/>
      <c r="P200" s="99"/>
      <c r="Q200" s="100"/>
      <c r="R200" s="38"/>
      <c r="S200" s="38"/>
      <c r="T200" s="38"/>
      <c r="U200" s="107" t="str">
        <f>IF([1]回答表!X46="●",[1]回答表!B307,IF([1]回答表!AA46="●",[1]回答表!B324,""))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IF([1]回答表!X46="●",[1]回答表!U313,IF([1]回答表!AA46="●",[1]回答表!U330,""))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IF([1]回答表!X46="●",[1]回答表!G313,IF([1]回答表!AA46="●",[1]回答表!G330,""))</f>
        <v/>
      </c>
      <c r="AN203" s="120"/>
      <c r="AO203" s="120"/>
      <c r="AP203" s="120"/>
      <c r="AQ203" s="120"/>
      <c r="AR203" s="120"/>
      <c r="AS203" s="120"/>
      <c r="AT203" s="121"/>
      <c r="AU203" s="119" t="str">
        <f>IF([1]回答表!X46="●",[1]回答表!G314,IF([1]回答表!AA46="●",[1]回答表!G331,""))</f>
        <v/>
      </c>
      <c r="AV203" s="120"/>
      <c r="AW203" s="120"/>
      <c r="AX203" s="120"/>
      <c r="AY203" s="120"/>
      <c r="AZ203" s="120"/>
      <c r="BA203" s="120"/>
      <c r="BB203" s="121"/>
      <c r="BC203" s="39"/>
      <c r="BD203" s="34"/>
      <c r="BE203" s="34"/>
      <c r="BF203" s="83" t="str">
        <f>IF([1]回答表!X46="●",[1]回答表!X313,IF([1]回答表!AA46="●",[1]回答表!X330,""))</f>
        <v/>
      </c>
      <c r="BG203" s="84"/>
      <c r="BH203" s="84"/>
      <c r="BI203" s="84"/>
      <c r="BJ203" s="83" t="str">
        <f>IF([1]回答表!X46="●",[1]回答表!X314,IF([1]回答表!AA46="●",[1]回答表!X331,""))</f>
        <v/>
      </c>
      <c r="BK203" s="84"/>
      <c r="BL203" s="84"/>
      <c r="BM203" s="87"/>
      <c r="BN203" s="83" t="str">
        <f>IF([1]回答表!X46="●",[1]回答表!X315,IF([1]回答表!AA46="●",[1]回答表!X332,""))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IF([1]回答表!AD46="●","●","")</f>
        <v/>
      </c>
      <c r="O212" s="99"/>
      <c r="P212" s="99"/>
      <c r="Q212" s="100"/>
      <c r="R212" s="38"/>
      <c r="S212" s="38"/>
      <c r="T212" s="38"/>
      <c r="U212" s="107" t="str">
        <f>IF([1]回答表!AD46="●",[1]回答表!B337,"")</f>
        <v/>
      </c>
      <c r="V212" s="108"/>
      <c r="W212" s="108"/>
      <c r="X212" s="108"/>
      <c r="Y212" s="108"/>
      <c r="Z212" s="108"/>
      <c r="AA212" s="108"/>
      <c r="AB212" s="108"/>
      <c r="AC212" s="108"/>
      <c r="AD212" s="108"/>
      <c r="AE212" s="108"/>
      <c r="AF212" s="108"/>
      <c r="AG212" s="108"/>
      <c r="AH212" s="108"/>
      <c r="AI212" s="108"/>
      <c r="AJ212" s="109"/>
      <c r="AK212" s="62"/>
      <c r="AL212" s="62"/>
      <c r="AM212" s="107" t="str">
        <f>IF([1]回答表!AD46="●",[1]回答表!B343,"")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IF([1]回答表!X47="●","●","")</f>
        <v>●</v>
      </c>
      <c r="O224" s="99"/>
      <c r="P224" s="99"/>
      <c r="Q224" s="100"/>
      <c r="R224" s="38"/>
      <c r="S224" s="38"/>
      <c r="T224" s="38"/>
      <c r="U224" s="107" t="str">
        <f>IF([1]回答表!X47="●",[1]回答表!B356,IF([1]回答表!AA47="●",[1]回答表!B379,""))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IF([1]回答表!X47="●",[1]回答表!B362,"")</f>
        <v>窓口業務、検針調定業務、収納業務、還付業務、滞納整理業務、電算処理業務（料金システムを含む）、メーター交換業務、その他付帯業務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IF([1]回答表!X47="●",[1]回答表!B368,IF([1]回答表!AA47="●",[1]回答表!B385,""))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IF([1]回答表!X47="●",[1]回答表!E368,IF([1]回答表!AA47="●",[1]回答表!E385,""))</f>
        <v>22</v>
      </c>
      <c r="BG227" s="84"/>
      <c r="BH227" s="84"/>
      <c r="BI227" s="84"/>
      <c r="BJ227" s="83">
        <f>IF([1]回答表!X47="●",[1]回答表!E369,IF([1]回答表!AA47="●",[1]回答表!E386,""))</f>
        <v>11</v>
      </c>
      <c r="BK227" s="84"/>
      <c r="BL227" s="84"/>
      <c r="BM227" s="87"/>
      <c r="BN227" s="83">
        <f>IF([1]回答表!X47="●",[1]回答表!E370,IF([1]回答表!AA47="●",[1]回答表!E387,""))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IF([1]回答表!AD47="●","●","")</f>
        <v/>
      </c>
      <c r="O236" s="99"/>
      <c r="P236" s="99"/>
      <c r="Q236" s="100"/>
      <c r="R236" s="38"/>
      <c r="S236" s="38"/>
      <c r="T236" s="38"/>
      <c r="U236" s="107" t="str">
        <f>IF([1]回答表!AD47="●",[1]回答表!B392,"")</f>
        <v/>
      </c>
      <c r="V236" s="108"/>
      <c r="W236" s="108"/>
      <c r="X236" s="108"/>
      <c r="Y236" s="108"/>
      <c r="Z236" s="108"/>
      <c r="AA236" s="108"/>
      <c r="AB236" s="108"/>
      <c r="AC236" s="108"/>
      <c r="AD236" s="108"/>
      <c r="AE236" s="108"/>
      <c r="AF236" s="108"/>
      <c r="AG236" s="108"/>
      <c r="AH236" s="108"/>
      <c r="AI236" s="108"/>
      <c r="AJ236" s="109"/>
      <c r="AK236" s="62"/>
      <c r="AL236" s="62"/>
      <c r="AM236" s="107" t="str">
        <f>IF([1]回答表!AD47="●",[1]回答表!B398,"")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IF([1]回答表!X48="●","●","")</f>
        <v/>
      </c>
      <c r="O248" s="99"/>
      <c r="P248" s="99"/>
      <c r="Q248" s="100"/>
      <c r="R248" s="38"/>
      <c r="S248" s="38"/>
      <c r="T248" s="38"/>
      <c r="U248" s="107" t="str">
        <f>IF([1]回答表!X48="●",[1]回答表!B411,IF([1]回答表!AA48="●",[1]回答表!B425,""))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IF([1]回答表!X48="●",[1]回答表!BC418,IF([1]回答表!AA48="●",[1]回答表!BC432,""))</f>
        <v/>
      </c>
      <c r="AR248" s="151"/>
      <c r="AS248" s="151"/>
      <c r="AT248" s="151"/>
      <c r="AU248" s="173" t="s">
        <v>73</v>
      </c>
      <c r="AV248" s="174"/>
      <c r="AW248" s="174"/>
      <c r="AX248" s="175"/>
      <c r="AY248" s="151" t="str">
        <f>IF([1]回答表!X48="●",[1]回答表!BC423,IF([1]回答表!AA48="●",[1]回答表!BC437,""))</f>
        <v/>
      </c>
      <c r="AZ248" s="151"/>
      <c r="BA248" s="151"/>
      <c r="BB248" s="151"/>
      <c r="BC248" s="39"/>
      <c r="BD248" s="34"/>
      <c r="BE248" s="34"/>
      <c r="BF248" s="116" t="str">
        <f>IF([1]回答表!X48="●",[1]回答表!S417,IF([1]回答表!AA48="●",[1]回答表!S431,""))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IF([1]回答表!X48="●",[1]回答表!BC419,IF([1]回答表!AA48="●",[1]回答表!BC433,""))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IF([1]回答表!X48="●",[1]回答表!V417,IF([1]回答表!AA48="●",[1]回答表!V431,""))</f>
        <v/>
      </c>
      <c r="BG251" s="84"/>
      <c r="BH251" s="84"/>
      <c r="BI251" s="84"/>
      <c r="BJ251" s="83" t="str">
        <f>IF([1]回答表!X48="●",[1]回答表!V418,IF([1]回答表!AA48="●",[1]回答表!V432,""))</f>
        <v/>
      </c>
      <c r="BK251" s="84"/>
      <c r="BL251" s="84"/>
      <c r="BM251" s="87"/>
      <c r="BN251" s="83" t="str">
        <f>IF([1]回答表!X48="●",[1]回答表!V419,IF([1]回答表!AA48="●",[1]回答表!V433,""))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IF([1]回答表!X48="●",[1]回答表!BC420,IF([1]回答表!AA48="●",[1]回答表!BC434,""))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IF([1]回答表!X48="●",[1]回答表!BC424,IF([1]回答表!AA48="●",[1]回答表!BC438,""))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IF([1]回答表!X48="●",[1]回答表!BC421,IF([1]回答表!AA48="●",[1]回答表!BC435,""))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IF([1]回答表!X48="●",[1]回答表!BC422,IF([1]回答表!AA48="●",[1]回答表!BC436,""))</f>
        <v/>
      </c>
      <c r="AR256" s="151"/>
      <c r="AS256" s="151"/>
      <c r="AT256" s="151"/>
      <c r="AU256" s="152" t="s">
        <v>79</v>
      </c>
      <c r="AV256" s="153"/>
      <c r="AW256" s="153"/>
      <c r="AX256" s="154"/>
      <c r="AY256" s="158" t="str">
        <f>IF([1]回答表!X48="●",[1]回答表!BC425,IF([1]回答表!AA48="●",[1]回答表!BC439,""))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IF([1]回答表!AD48="●","●","")</f>
        <v/>
      </c>
      <c r="O260" s="99"/>
      <c r="P260" s="99"/>
      <c r="Q260" s="100"/>
      <c r="R260" s="38"/>
      <c r="S260" s="38"/>
      <c r="T260" s="38"/>
      <c r="U260" s="107" t="str">
        <f>IF([1]回答表!AD48="●",[1]回答表!B439,"")</f>
        <v/>
      </c>
      <c r="V260" s="108"/>
      <c r="W260" s="108"/>
      <c r="X260" s="108"/>
      <c r="Y260" s="108"/>
      <c r="Z260" s="108"/>
      <c r="AA260" s="108"/>
      <c r="AB260" s="108"/>
      <c r="AC260" s="108"/>
      <c r="AD260" s="108"/>
      <c r="AE260" s="108"/>
      <c r="AF260" s="108"/>
      <c r="AG260" s="108"/>
      <c r="AH260" s="108"/>
      <c r="AI260" s="108"/>
      <c r="AJ260" s="109"/>
      <c r="AK260" s="55"/>
      <c r="AL260" s="55"/>
      <c r="AM260" s="107" t="str">
        <f>IF([1]回答表!AD48="●",[1]回答表!B445,"")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IF([1]回答表!X49="●","●","")</f>
        <v/>
      </c>
      <c r="O271" s="99"/>
      <c r="P271" s="99"/>
      <c r="Q271" s="100"/>
      <c r="R271" s="38"/>
      <c r="S271" s="38"/>
      <c r="T271" s="38"/>
      <c r="U271" s="107" t="str">
        <f>IF([1]回答表!X49="●",[1]回答表!B458,IF([1]回答表!AA49="●",[1]回答表!B475,""))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IF([1]回答表!X49="●",[1]回答表!B468,IF([1]回答表!AA49="●",[1]回答表!B485,""))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IF([1]回答表!X49="●",[1]回答表!G464,IF([1]回答表!AA49="●",[1]回答表!G481,""))</f>
        <v/>
      </c>
      <c r="AN273" s="120"/>
      <c r="AO273" s="120"/>
      <c r="AP273" s="120"/>
      <c r="AQ273" s="120"/>
      <c r="AR273" s="120"/>
      <c r="AS273" s="120"/>
      <c r="AT273" s="121"/>
      <c r="AU273" s="119" t="str">
        <f>IF([1]回答表!X49="●",[1]回答表!G465,IF([1]回答表!AA49="●",[1]回答表!G482,""))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IF([1]回答表!X49="●",[1]回答表!E468,IF([1]回答表!AA49="●",[1]回答表!E485,""))</f>
        <v/>
      </c>
      <c r="BG274" s="84"/>
      <c r="BH274" s="84"/>
      <c r="BI274" s="84"/>
      <c r="BJ274" s="83" t="str">
        <f>IF([1]回答表!X49="●",[1]回答表!E469,IF([1]回答表!AA49="●",[1]回答表!E486,""))</f>
        <v/>
      </c>
      <c r="BK274" s="84"/>
      <c r="BL274" s="84"/>
      <c r="BM274" s="87"/>
      <c r="BN274" s="83" t="str">
        <f>IF([1]回答表!X49="●",[1]回答表!E470,IF([1]回答表!AA49="●",[1]回答表!E487,""))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IF([1]回答表!AD49="●","●","")</f>
        <v/>
      </c>
      <c r="O283" s="99"/>
      <c r="P283" s="99"/>
      <c r="Q283" s="100"/>
      <c r="R283" s="38"/>
      <c r="S283" s="38"/>
      <c r="T283" s="38"/>
      <c r="U283" s="107" t="str">
        <f>IF([1]回答表!AD49="●",[1]回答表!B492,"")</f>
        <v/>
      </c>
      <c r="V283" s="108"/>
      <c r="W283" s="108"/>
      <c r="X283" s="108"/>
      <c r="Y283" s="108"/>
      <c r="Z283" s="108"/>
      <c r="AA283" s="108"/>
      <c r="AB283" s="108"/>
      <c r="AC283" s="108"/>
      <c r="AD283" s="108"/>
      <c r="AE283" s="108"/>
      <c r="AF283" s="108"/>
      <c r="AG283" s="108"/>
      <c r="AH283" s="108"/>
      <c r="AI283" s="108"/>
      <c r="AJ283" s="109"/>
      <c r="AK283" s="49"/>
      <c r="AL283" s="49"/>
      <c r="AM283" s="107" t="str">
        <f>IF([1]回答表!AD49="●",[1]回答表!B498,"")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IF([1]回答表!R50="●",[1]回答表!B511,"")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29AB8-DF25-42D7-9A67-DC46FF4D9BF2}">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IF(COUNTIF([4]回答表!K15,"*")&gt;0,[4]回答表!K15,"")</f>
        <v>横手市</v>
      </c>
      <c r="D11" s="299"/>
      <c r="E11" s="299"/>
      <c r="F11" s="299"/>
      <c r="G11" s="299"/>
      <c r="H11" s="299"/>
      <c r="I11" s="299"/>
      <c r="J11" s="299"/>
      <c r="K11" s="299"/>
      <c r="L11" s="299"/>
      <c r="M11" s="299"/>
      <c r="N11" s="299"/>
      <c r="O11" s="299"/>
      <c r="P11" s="299"/>
      <c r="Q11" s="299"/>
      <c r="R11" s="299"/>
      <c r="S11" s="299"/>
      <c r="T11" s="299"/>
      <c r="U11" s="306" t="str">
        <f>IF(COUNTIF([4]回答表!F17,"*")&gt;0,[4]回答表!F17,"")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IF(COUNTIF([4]回答表!W17,"*")&gt;0,[4]回答表!W17,"")</f>
        <v>農業集落排水施設</v>
      </c>
      <c r="AP11" s="301"/>
      <c r="AQ11" s="301"/>
      <c r="AR11" s="301"/>
      <c r="AS11" s="301"/>
      <c r="AT11" s="301"/>
      <c r="AU11" s="301"/>
      <c r="AV11" s="301"/>
      <c r="AW11" s="301"/>
      <c r="AX11" s="301"/>
      <c r="AY11" s="301"/>
      <c r="AZ11" s="301"/>
      <c r="BA11" s="301"/>
      <c r="BB11" s="301"/>
      <c r="BC11" s="301"/>
      <c r="BD11" s="301"/>
      <c r="BE11" s="301"/>
      <c r="BF11" s="302"/>
      <c r="BG11" s="305" t="str">
        <f>IF(COUNTIF([4]回答表!F19,"*")&gt;0,[4]回答表!F19,"")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IF([4]回答表!R43="●","●","")</f>
        <v/>
      </c>
      <c r="E24" s="123"/>
      <c r="F24" s="123"/>
      <c r="G24" s="123"/>
      <c r="H24" s="123"/>
      <c r="I24" s="123"/>
      <c r="J24" s="124"/>
      <c r="K24" s="122" t="str">
        <f>IF([4]回答表!R44="●","●","")</f>
        <v/>
      </c>
      <c r="L24" s="123"/>
      <c r="M24" s="123"/>
      <c r="N24" s="123"/>
      <c r="O24" s="123"/>
      <c r="P24" s="123"/>
      <c r="Q24" s="124"/>
      <c r="R24" s="122" t="str">
        <f>IF([4]回答表!R45="●","●","")</f>
        <v>●</v>
      </c>
      <c r="S24" s="123"/>
      <c r="T24" s="123"/>
      <c r="U24" s="123"/>
      <c r="V24" s="123"/>
      <c r="W24" s="123"/>
      <c r="X24" s="124"/>
      <c r="Y24" s="122" t="str">
        <f>IF([4]回答表!R46="●","●","")</f>
        <v/>
      </c>
      <c r="Z24" s="123"/>
      <c r="AA24" s="123"/>
      <c r="AB24" s="123"/>
      <c r="AC24" s="123"/>
      <c r="AD24" s="123"/>
      <c r="AE24" s="124"/>
      <c r="AF24" s="122" t="str">
        <f>IF([4]回答表!R47="●","●","")</f>
        <v>●</v>
      </c>
      <c r="AG24" s="123"/>
      <c r="AH24" s="123"/>
      <c r="AI24" s="123"/>
      <c r="AJ24" s="123"/>
      <c r="AK24" s="123"/>
      <c r="AL24" s="124"/>
      <c r="AM24" s="122" t="str">
        <f>IF([4]回答表!R48="●","●","")</f>
        <v/>
      </c>
      <c r="AN24" s="123"/>
      <c r="AO24" s="123"/>
      <c r="AP24" s="123"/>
      <c r="AQ24" s="123"/>
      <c r="AR24" s="123"/>
      <c r="AS24" s="124"/>
      <c r="AT24" s="122" t="str">
        <f>IF([4]回答表!R49="●","●","")</f>
        <v/>
      </c>
      <c r="AU24" s="123"/>
      <c r="AV24" s="123"/>
      <c r="AW24" s="123"/>
      <c r="AX24" s="123"/>
      <c r="AY24" s="123"/>
      <c r="AZ24" s="124"/>
      <c r="BA24" s="18"/>
      <c r="BB24" s="119" t="str">
        <f>IF([4]回答表!R50="●","●","")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IF([4]回答表!X43="●","●","")</f>
        <v/>
      </c>
      <c r="O36" s="99"/>
      <c r="P36" s="99"/>
      <c r="Q36" s="100"/>
      <c r="R36" s="38"/>
      <c r="S36" s="38"/>
      <c r="T36" s="38"/>
      <c r="U36" s="107" t="str">
        <f>IF([4]回答表!X43="●",[4]回答表!B59,IF([4]回答表!AA43="●",[4]回答表!B79,""))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IF([4]回答表!X43="●",[4]回答表!S65,IF([4]回答表!AA43="●",[4]回答表!S85,""))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IF([4]回答表!X43="●",[4]回答表!G65,IF([4]回答表!AA43="●",[4]回答表!G85,""))</f>
        <v/>
      </c>
      <c r="AN38" s="120"/>
      <c r="AO38" s="120"/>
      <c r="AP38" s="120"/>
      <c r="AQ38" s="120"/>
      <c r="AR38" s="120"/>
      <c r="AS38" s="120"/>
      <c r="AT38" s="121"/>
      <c r="AU38" s="119" t="str">
        <f>IF([4]回答表!X43="●",[4]回答表!G66,IF([4]回答表!AA43="●",[4]回答表!G86,""))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IF([4]回答表!X43="●",[4]回答表!V65,IF([4]回答表!AA43="●",[4]回答表!V85,""))</f>
        <v/>
      </c>
      <c r="BG39" s="249"/>
      <c r="BH39" s="249"/>
      <c r="BI39" s="250"/>
      <c r="BJ39" s="83" t="str">
        <f>IF([4]回答表!X43="●",[4]回答表!V66,IF([4]回答表!AA43="●",[4]回答表!V86,""))</f>
        <v/>
      </c>
      <c r="BK39" s="249"/>
      <c r="BL39" s="249"/>
      <c r="BM39" s="250"/>
      <c r="BN39" s="83" t="str">
        <f>IF([4]回答表!X43="●",[4]回答表!V67,IF([4]回答表!AA43="●",[4]回答表!V87,""))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IF([4]回答表!X43="●",[4]回答表!O71,IF([4]回答表!AA43="●",[4]回答表!O91,""))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IF([4]回答表!X43="●",[4]回答表!O72,IF([4]回答表!AA43="●",[4]回答表!O92,""))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IF([4]回答表!AA43="●","●","")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IF([4]回答表!X43="●",[4]回答表!O73,IF([4]回答表!AA43="●",[4]回答表!O93,""))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IF([4]回答表!X43="●",[4]回答表!O74,IF([4]回答表!AA43="●",[4]回答表!O94,""))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IF([4]回答表!X43="●",[4]回答表!AG71,IF([4]回答表!AA43="●",[4]回答表!AG91,""))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IF([4]回答表!X43="●",[4]回答表!AG72,IF([4]回答表!AA43="●",[4]回答表!AG92,""))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IF([4]回答表!AD43="●","●","")</f>
        <v/>
      </c>
      <c r="O51" s="99"/>
      <c r="P51" s="99"/>
      <c r="Q51" s="100"/>
      <c r="R51" s="38"/>
      <c r="S51" s="38"/>
      <c r="T51" s="38"/>
      <c r="U51" s="107" t="str">
        <f>IF([4]回答表!AD43="●",[4]回答表!B99,"")</f>
        <v/>
      </c>
      <c r="V51" s="108"/>
      <c r="W51" s="108"/>
      <c r="X51" s="108"/>
      <c r="Y51" s="108"/>
      <c r="Z51" s="108"/>
      <c r="AA51" s="108"/>
      <c r="AB51" s="108"/>
      <c r="AC51" s="108"/>
      <c r="AD51" s="108"/>
      <c r="AE51" s="108"/>
      <c r="AF51" s="108"/>
      <c r="AG51" s="108"/>
      <c r="AH51" s="108"/>
      <c r="AI51" s="108"/>
      <c r="AJ51" s="109"/>
      <c r="AK51" s="55"/>
      <c r="AL51" s="55"/>
      <c r="AM51" s="107" t="str">
        <f>IF([4]回答表!AD43="●",[4]回答表!B104,"")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IF([4]回答表!X44="●","●","")</f>
        <v/>
      </c>
      <c r="O62" s="99"/>
      <c r="P62" s="99"/>
      <c r="Q62" s="100"/>
      <c r="R62" s="38"/>
      <c r="S62" s="38"/>
      <c r="T62" s="38"/>
      <c r="U62" s="107" t="str">
        <f>IF([4]回答表!X44="●",[4]回答表!B115,IF([4]回答表!AA44="●",[4]回答表!B127,""))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IF([4]回答表!X44="●",[4]回答表!S121,IF([4]回答表!AA44="●",[4]回答表!S133,""))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IF([4]回答表!X44="●",[4]回答表!J121,IF([4]回答表!AA44="●",[4]回答表!J133,""))</f>
        <v/>
      </c>
      <c r="AN65" s="120"/>
      <c r="AO65" s="120"/>
      <c r="AP65" s="120"/>
      <c r="AQ65" s="120"/>
      <c r="AR65" s="120"/>
      <c r="AS65" s="120"/>
      <c r="AT65" s="121"/>
      <c r="AU65" s="119" t="str">
        <f>IF([4]回答表!X44="●",[4]回答表!J122,IF([4]回答表!AA44="●",[4]回答表!J134,""))</f>
        <v/>
      </c>
      <c r="AV65" s="120"/>
      <c r="AW65" s="120"/>
      <c r="AX65" s="120"/>
      <c r="AY65" s="120"/>
      <c r="AZ65" s="120"/>
      <c r="BA65" s="120"/>
      <c r="BB65" s="121"/>
      <c r="BC65" s="39"/>
      <c r="BD65" s="34"/>
      <c r="BE65" s="34"/>
      <c r="BF65" s="83" t="str">
        <f>IF([4]回答表!X44="●",[4]回答表!V121,IF([4]回答表!AA44="●",[4]回答表!V133,""))</f>
        <v/>
      </c>
      <c r="BG65" s="84"/>
      <c r="BH65" s="84"/>
      <c r="BI65" s="84"/>
      <c r="BJ65" s="83" t="str">
        <f>IF([4]回答表!X44="●",[4]回答表!V122,IF([4]回答表!AA44="●",[4]回答表!V134,""))</f>
        <v/>
      </c>
      <c r="BK65" s="84"/>
      <c r="BL65" s="84"/>
      <c r="BM65" s="84"/>
      <c r="BN65" s="83" t="str">
        <f>IF([4]回答表!X44="●",[4]回答表!V123,IF([4]回答表!AA44="●",[4]回答表!V135,""))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IF([4]回答表!AA44="●","●","")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IF([4]回答表!AD44="●","●","")</f>
        <v/>
      </c>
      <c r="O74" s="99"/>
      <c r="P74" s="99"/>
      <c r="Q74" s="100"/>
      <c r="R74" s="38"/>
      <c r="S74" s="38"/>
      <c r="T74" s="38"/>
      <c r="U74" s="107" t="str">
        <f>IF([4]回答表!AD44="●",[4]回答表!B140,"")</f>
        <v/>
      </c>
      <c r="V74" s="108"/>
      <c r="W74" s="108"/>
      <c r="X74" s="108"/>
      <c r="Y74" s="108"/>
      <c r="Z74" s="108"/>
      <c r="AA74" s="108"/>
      <c r="AB74" s="108"/>
      <c r="AC74" s="108"/>
      <c r="AD74" s="108"/>
      <c r="AE74" s="108"/>
      <c r="AF74" s="108"/>
      <c r="AG74" s="108"/>
      <c r="AH74" s="108"/>
      <c r="AI74" s="108"/>
      <c r="AJ74" s="109"/>
      <c r="AK74" s="55"/>
      <c r="AL74" s="55"/>
      <c r="AM74" s="107" t="str">
        <f>IF([4]回答表!AD44="●",[4]回答表!B146,"")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IF([4]回答表!F17="水道事業",IF([4]回答表!X45="●","●",""),"")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IF([4]回答表!F17="水道事業",IF([4]回答表!X45="●",[4]回答表!B158,IF([4]回答表!AA45="●",[4]回答表!B223,"")),"")</f>
        <v/>
      </c>
      <c r="AN86" s="212"/>
      <c r="AO86" s="212"/>
      <c r="AP86" s="212"/>
      <c r="AQ86" s="212"/>
      <c r="AR86" s="212"/>
      <c r="AS86" s="212"/>
      <c r="AT86" s="212"/>
      <c r="AU86" s="212"/>
      <c r="AV86" s="212"/>
      <c r="AW86" s="212"/>
      <c r="AX86" s="212"/>
      <c r="AY86" s="212"/>
      <c r="AZ86" s="212"/>
      <c r="BA86" s="212"/>
      <c r="BB86" s="212"/>
      <c r="BC86" s="213"/>
      <c r="BD86" s="34"/>
      <c r="BE86" s="34"/>
      <c r="BF86" s="116" t="str">
        <f>IF([4]回答表!F17="水道事業",IF([4]回答表!X45="●",[4]回答表!B212,IF([4]回答表!AA45="●",[4]回答表!B278,"")),"")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IF([4]回答表!F17="水道事業",IF([4]回答表!X45="●",[4]回答表!J166,IF([4]回答表!AA45="●",[4]回答表!J231,"")),"")</f>
        <v/>
      </c>
      <c r="V88" s="120"/>
      <c r="W88" s="120"/>
      <c r="X88" s="120"/>
      <c r="Y88" s="120"/>
      <c r="Z88" s="120"/>
      <c r="AA88" s="120"/>
      <c r="AB88" s="121"/>
      <c r="AC88" s="119" t="str">
        <f>IF([4]回答表!F17="水道事業",IF([4]回答表!X45="●",[4]回答表!J173,IF([4]回答表!AA45="●",[4]回答表!J238,"")),"")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IF([4]回答表!F17="水道事業",IF([4]回答表!X45="●",[4]回答表!E212,IF([4]回答表!AA45="●",[4]回答表!E278,"")),"")</f>
        <v/>
      </c>
      <c r="BG89" s="84"/>
      <c r="BH89" s="84"/>
      <c r="BI89" s="84"/>
      <c r="BJ89" s="83" t="str">
        <f>IF([4]回答表!F17="水道事業",IF([4]回答表!X45="●",[4]回答表!E213,IF([4]回答表!AA45="●",[4]回答表!E279,"")),"")</f>
        <v/>
      </c>
      <c r="BK89" s="84"/>
      <c r="BL89" s="84"/>
      <c r="BM89" s="84"/>
      <c r="BN89" s="83" t="str">
        <f>IF([4]回答表!F17="水道事業",IF([4]回答表!X45="●",[4]回答表!E214,IF([4]回答表!AA45="●",[4]回答表!E280,"")),"")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IF([4]回答表!F17="水道事業",IF([4]回答表!AA45="●","●",""),"")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IF([4]回答表!F17="水道事業",IF([4]回答表!X45="●",[4]回答表!J176,IF([4]回答表!AA45="●",[4]回答表!J241,"")),"")</f>
        <v/>
      </c>
      <c r="V93" s="120"/>
      <c r="W93" s="120"/>
      <c r="X93" s="120"/>
      <c r="Y93" s="120"/>
      <c r="Z93" s="120"/>
      <c r="AA93" s="120"/>
      <c r="AB93" s="121"/>
      <c r="AC93" s="119" t="str">
        <f>IF([4]回答表!F17="水道事業",IF([4]回答表!X45="●",[4]回答表!J180,IF([4]回答表!AA45="●",[4]回答表!J245,"")),"")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IF([4]回答表!F17="水道事業",IF([4]回答表!AD45="○","○",""),"")</f>
        <v/>
      </c>
      <c r="O98" s="99"/>
      <c r="P98" s="99"/>
      <c r="Q98" s="100"/>
      <c r="R98" s="38"/>
      <c r="S98" s="38"/>
      <c r="T98" s="38"/>
      <c r="U98" s="107" t="str">
        <f>IF([4]回答表!F17="水道事業",IF([4]回答表!AD45="●",[4]回答表!B289,""),"")</f>
        <v/>
      </c>
      <c r="V98" s="108"/>
      <c r="W98" s="108"/>
      <c r="X98" s="108"/>
      <c r="Y98" s="108"/>
      <c r="Z98" s="108"/>
      <c r="AA98" s="108"/>
      <c r="AB98" s="108"/>
      <c r="AC98" s="108"/>
      <c r="AD98" s="108"/>
      <c r="AE98" s="108"/>
      <c r="AF98" s="108"/>
      <c r="AG98" s="108"/>
      <c r="AH98" s="108"/>
      <c r="AI98" s="108"/>
      <c r="AJ98" s="109"/>
      <c r="AK98" s="55"/>
      <c r="AL98" s="55"/>
      <c r="AM98" s="107" t="str">
        <f>IF([4]回答表!F17="水道事業",IF([4]回答表!AD45="●",[4]回答表!B295,""),"")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IF([4]回答表!F17="簡易水道事業",IF([4]回答表!X45="●",[4]回答表!B158,IF([4]回答表!AA45="●",[4]回答表!B223,"")),"")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IF([4]回答表!F17="簡易水道事業",IF([4]回答表!X45="●",[4]回答表!B212,IF([4]回答表!AA45="●",[4]回答表!B278,"")),"")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IF([4]回答表!F17="簡易水道事業",IF([4]回答表!X45="●","●",""),"")</f>
        <v/>
      </c>
      <c r="O112" s="99"/>
      <c r="P112" s="99"/>
      <c r="Q112" s="100"/>
      <c r="R112" s="38"/>
      <c r="S112" s="38"/>
      <c r="T112" s="38"/>
      <c r="U112" s="119" t="str">
        <f>IF([4]回答表!F17="簡易水道事業",IF([4]回答表!X45="●",[4]回答表!Y185,IF([4]回答表!AA45="●",[4]回答表!Y251,"")),"")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IF([4]回答表!F17="簡易水道事業",IF([4]回答表!X45="●",[4]回答表!E212,IF([4]回答表!AA45="●",[4]回答表!E278,"")),"")</f>
        <v/>
      </c>
      <c r="BG113" s="84"/>
      <c r="BH113" s="84"/>
      <c r="BI113" s="84"/>
      <c r="BJ113" s="83" t="str">
        <f>IF([4]回答表!F17="簡易水道事業",IF([4]回答表!X45="●",[4]回答表!E213,IF([4]回答表!AA45="●",[4]回答表!E279,"")),"")</f>
        <v/>
      </c>
      <c r="BK113" s="84"/>
      <c r="BL113" s="84"/>
      <c r="BM113" s="84"/>
      <c r="BN113" s="83" t="str">
        <f>IF([4]回答表!F17="簡易水道事業",IF([4]回答表!X45="●",[4]回答表!E214,IF([4]回答表!AA45="●",[4]回答表!E280,"")),"")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IF([4]回答表!F17="簡易水道事業",IF([4]回答表!X45="●",[4]回答表!Y186,IF([4]回答表!AA45="●",[4]回答表!Y252,"")),"")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IF([4]回答表!F17="簡易水道事業",IF([4]回答表!AA45="●","●",""),"")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IF([4]回答表!F17="簡易水道事業",IF([4]回答表!X45="●",[4]回答表!Y187,IF([4]回答表!AA45="●",[4]回答表!Y253,"")),"")</f>
        <v/>
      </c>
      <c r="V122" s="120"/>
      <c r="W122" s="120"/>
      <c r="X122" s="120"/>
      <c r="Y122" s="120"/>
      <c r="Z122" s="120"/>
      <c r="AA122" s="120"/>
      <c r="AB122" s="120"/>
      <c r="AC122" s="120"/>
      <c r="AD122" s="120"/>
      <c r="AE122" s="120"/>
      <c r="AF122" s="120"/>
      <c r="AG122" s="120"/>
      <c r="AH122" s="120"/>
      <c r="AI122" s="120"/>
      <c r="AJ122" s="121"/>
      <c r="AK122" s="18"/>
      <c r="AL122" s="18"/>
      <c r="AM122" s="228" t="str">
        <f>IF([4]回答表!F17="簡易水道事業",IF([4]回答表!X45="●",[4]回答表!Y189,IF([4]回答表!AA45="●",[4]回答表!Y255,"")),"")</f>
        <v/>
      </c>
      <c r="AN122" s="228"/>
      <c r="AO122" s="228"/>
      <c r="AP122" s="228"/>
      <c r="AQ122" s="228"/>
      <c r="AR122" s="228"/>
      <c r="AS122" s="228" t="str">
        <f>IF([4]回答表!F17="簡易水道事業",IF([4]回答表!X45="●",[4]回答表!Y190,IF([4]回答表!AA45="●",[4]回答表!Y256,"")),"")</f>
        <v/>
      </c>
      <c r="AT122" s="228"/>
      <c r="AU122" s="228"/>
      <c r="AV122" s="228"/>
      <c r="AW122" s="228"/>
      <c r="AX122" s="228"/>
      <c r="AY122" s="228" t="str">
        <f>IF([4]回答表!F17="簡易水道事業",IF([4]回答表!X45="●",[4]回答表!Y191,IF([4]回答表!AA45="●",[4]回答表!Y257,"")),"")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IF([4]回答表!F17="簡易水道事業",IF([4]回答表!AD45="●","●",""),"")</f>
        <v/>
      </c>
      <c r="O127" s="99"/>
      <c r="P127" s="99"/>
      <c r="Q127" s="100"/>
      <c r="R127" s="38"/>
      <c r="S127" s="38"/>
      <c r="T127" s="38"/>
      <c r="U127" s="107" t="str">
        <f>IF([4]回答表!F17="簡易水道事業",IF([4]回答表!AD45="●",[4]回答表!B289,""),"")</f>
        <v/>
      </c>
      <c r="V127" s="108"/>
      <c r="W127" s="108"/>
      <c r="X127" s="108"/>
      <c r="Y127" s="108"/>
      <c r="Z127" s="108"/>
      <c r="AA127" s="108"/>
      <c r="AB127" s="108"/>
      <c r="AC127" s="108"/>
      <c r="AD127" s="108"/>
      <c r="AE127" s="108"/>
      <c r="AF127" s="108"/>
      <c r="AG127" s="108"/>
      <c r="AH127" s="108"/>
      <c r="AI127" s="108"/>
      <c r="AJ127" s="109"/>
      <c r="AK127" s="55"/>
      <c r="AL127" s="55"/>
      <c r="AM127" s="107" t="str">
        <f>IF([4]回答表!F17="簡易水道事業",IF([4]回答表!AD45="●",[4]回答表!B295,""),"")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IF([4]回答表!F17="下水道事業",IF([4]回答表!X45="●","●",""),"")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IF([4]回答表!F17="下水道事業",IF([4]回答表!X45="●",[4]回答表!B158,IF([4]回答表!AA45="●",[4]回答表!B223,"")),"")</f>
        <v>汚水処理施設の統廃合（農業集落排水の3処理区を一つに統合する。）</v>
      </c>
      <c r="AN139" s="212"/>
      <c r="AO139" s="212"/>
      <c r="AP139" s="212"/>
      <c r="AQ139" s="212"/>
      <c r="AR139" s="212"/>
      <c r="AS139" s="212"/>
      <c r="AT139" s="212"/>
      <c r="AU139" s="212"/>
      <c r="AV139" s="212"/>
      <c r="AW139" s="212"/>
      <c r="AX139" s="212"/>
      <c r="AY139" s="212"/>
      <c r="AZ139" s="212"/>
      <c r="BA139" s="212"/>
      <c r="BB139" s="212"/>
      <c r="BC139" s="213"/>
      <c r="BD139" s="34"/>
      <c r="BE139" s="34"/>
      <c r="BF139" s="116" t="str">
        <f>IF([4]回答表!F17="下水道事業",IF([4]回答表!X45="●",[4]回答表!B212,IF([4]回答表!AA45="●",[4]回答表!B278,"")),"")</f>
        <v>令和</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IF([4]回答表!F17="下水道事業",IF([4]回答表!X45="●",[4]回答表!Y193,IF([4]回答表!AA45="●",[4]回答表!Y259,"")),"")</f>
        <v>●</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f>IF([4]回答表!F17="下水道事業",IF([4]回答表!X45="●",[4]回答表!E212,IF([4]回答表!AA45="●",[4]回答表!E278,"")),"")</f>
        <v>5</v>
      </c>
      <c r="BG142" s="84"/>
      <c r="BH142" s="84"/>
      <c r="BI142" s="84"/>
      <c r="BJ142" s="83">
        <f>IF([4]回答表!F17="下水道事業",IF([4]回答表!X45="●",[4]回答表!E213,IF([4]回答表!AA45="●",[4]回答表!E279,"")),"")</f>
        <v>3</v>
      </c>
      <c r="BK142" s="84"/>
      <c r="BL142" s="84"/>
      <c r="BM142" s="84"/>
      <c r="BN142" s="83">
        <f>IF([4]回答表!F17="下水道事業",IF([4]回答表!X45="●",[4]回答表!E214,IF([4]回答表!AA45="●",[4]回答表!E280,"")),"")</f>
        <v>31</v>
      </c>
      <c r="BO142" s="84"/>
      <c r="BP142" s="84"/>
      <c r="BQ142" s="87"/>
      <c r="BR142" s="37"/>
      <c r="BX142" s="211" t="str">
        <f>IF([4]回答表!AQ20="下水道事業",IF([4]回答表!BI48="○",[4]回答表!AM161,IF([4]回答表!BL48="○",[4]回答表!AM226,"")),"")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IF([4]回答表!F17="下水道事業",IF([4]回答表!X45="●",[4]回答表!Y195,IF([4]回答表!AA45="●",[4]回答表!Y261,"")),"")</f>
        <v>●</v>
      </c>
      <c r="V147" s="120"/>
      <c r="W147" s="120"/>
      <c r="X147" s="120"/>
      <c r="Y147" s="120"/>
      <c r="Z147" s="120"/>
      <c r="AA147" s="120"/>
      <c r="AB147" s="121"/>
      <c r="AC147" s="119" t="str">
        <f>IF([4]回答表!F17="下水道事業",IF([4]回答表!X45="●",[4]回答表!Y196,IF([4]回答表!AA45="●",[4]回答表!Y262,"")),"")</f>
        <v xml:space="preserve">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IF([4]回答表!F17="下水道事業",IF([4]回答表!X45="●",[4]回答表!Y198,IF([4]回答表!AA45="●",[4]回答表!Y264,"")),"")</f>
        <v xml:space="preserve"> </v>
      </c>
      <c r="V153" s="120"/>
      <c r="W153" s="120"/>
      <c r="X153" s="120"/>
      <c r="Y153" s="120"/>
      <c r="Z153" s="120"/>
      <c r="AA153" s="120"/>
      <c r="AB153" s="121"/>
      <c r="AC153" s="119" t="str">
        <f>IF([4]回答表!F17="下水道事業",IF([4]回答表!X45="●",[4]回答表!Y199,IF([4]回答表!AA45="●",[4]回答表!Y265,"")),"")</f>
        <v xml:space="preserve"> </v>
      </c>
      <c r="AD153" s="120"/>
      <c r="AE153" s="120"/>
      <c r="AF153" s="120"/>
      <c r="AG153" s="120"/>
      <c r="AH153" s="120"/>
      <c r="AI153" s="120"/>
      <c r="AJ153" s="121"/>
      <c r="AK153" s="119" t="str">
        <f>IF([4]回答表!F17="下水道事業",IF([4]回答表!X45="●",[4]回答表!Y200,IF([4]回答表!AA45="●",[4]回答表!Y266,"")),"")</f>
        <v xml:space="preserve"> </v>
      </c>
      <c r="AL153" s="120"/>
      <c r="AM153" s="120"/>
      <c r="AN153" s="120"/>
      <c r="AO153" s="120"/>
      <c r="AP153" s="120"/>
      <c r="AQ153" s="120"/>
      <c r="AR153" s="121"/>
      <c r="AS153" s="119" t="str">
        <f>IF([4]回答表!F17="下水道事業",IF([4]回答表!X45="●",[4]回答表!Y201,IF([4]回答表!AA45="●",[4]回答表!Y267,"")),"")</f>
        <v xml:space="preserve"> </v>
      </c>
      <c r="AT153" s="120"/>
      <c r="AU153" s="120"/>
      <c r="AV153" s="120"/>
      <c r="AW153" s="120"/>
      <c r="AX153" s="120"/>
      <c r="AY153" s="120"/>
      <c r="AZ153" s="121"/>
      <c r="BA153" s="119" t="str">
        <f>IF([4]回答表!F17="下水道事業",IF([4]回答表!X45="●",[4]回答表!Y202,IF([4]回答表!AA45="●",[4]回答表!Y268,"")),"")</f>
        <v>●</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IF([4]回答表!F17="下水道事業",IF([4]回答表!AA45="●","●",""),"")</f>
        <v>●</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IF([4]回答表!F17="下水道事業",IF([4]回答表!X45="●",[4]回答表!Y207,IF([4]回答表!AA45="●",[4]回答表!Y273,"")),"")</f>
        <v xml:space="preserve"> </v>
      </c>
      <c r="V159" s="120"/>
      <c r="W159" s="120"/>
      <c r="X159" s="120"/>
      <c r="Y159" s="120"/>
      <c r="Z159" s="120"/>
      <c r="AA159" s="120"/>
      <c r="AB159" s="121"/>
      <c r="AC159" s="119" t="str">
        <f>IF([4]回答表!F17="下水道事業",IF([4]回答表!X45="●",[4]回答表!Y208,IF([4]回答表!AA45="●",[4]回答表!Y274,"")),"")</f>
        <v xml:space="preserve"> </v>
      </c>
      <c r="AD159" s="120"/>
      <c r="AE159" s="120"/>
      <c r="AF159" s="120"/>
      <c r="AG159" s="120"/>
      <c r="AH159" s="120"/>
      <c r="AI159" s="120"/>
      <c r="AJ159" s="121"/>
      <c r="AK159" s="119" t="str">
        <f>IF([4]回答表!F17="下水道事業",IF([4]回答表!X45="●",[4]回答表!Y209,IF([4]回答表!AA45="●",[4]回答表!Y275,"")),"")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IF([4]回答表!F17="下水道事業",IF([4]回答表!AD45="●","●",""),"")</f>
        <v/>
      </c>
      <c r="O164" s="99"/>
      <c r="P164" s="99"/>
      <c r="Q164" s="100"/>
      <c r="R164" s="38"/>
      <c r="S164" s="38"/>
      <c r="T164" s="38"/>
      <c r="U164" s="107" t="str">
        <f>IF([4]回答表!F17="下水道事業",IF([4]回答表!AD45="●",[4]回答表!B289,""),"")</f>
        <v/>
      </c>
      <c r="V164" s="108"/>
      <c r="W164" s="108"/>
      <c r="X164" s="108"/>
      <c r="Y164" s="108"/>
      <c r="Z164" s="108"/>
      <c r="AA164" s="108"/>
      <c r="AB164" s="108"/>
      <c r="AC164" s="108"/>
      <c r="AD164" s="108"/>
      <c r="AE164" s="108"/>
      <c r="AF164" s="108"/>
      <c r="AG164" s="108"/>
      <c r="AH164" s="108"/>
      <c r="AI164" s="108"/>
      <c r="AJ164" s="109"/>
      <c r="AK164" s="55"/>
      <c r="AL164" s="55"/>
      <c r="AM164" s="107" t="str">
        <f>IF([4]回答表!F17="下水道事業",IF([4]回答表!AD45="●",[4]回答表!B295,""),"")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IF([4]回答表!BD17="●",IF([4]回答表!X45="●","●",""),"")</f>
        <v/>
      </c>
      <c r="O176" s="99"/>
      <c r="P176" s="99"/>
      <c r="Q176" s="100"/>
      <c r="R176" s="38"/>
      <c r="S176" s="38"/>
      <c r="T176" s="38"/>
      <c r="U176" s="107" t="str">
        <f>IF([4]回答表!BD17="●",IF([4]回答表!X45="●",[4]回答表!B158,IF([4]回答表!AA45="●",[4]回答表!B223,"")),"")</f>
        <v/>
      </c>
      <c r="V176" s="108"/>
      <c r="W176" s="108"/>
      <c r="X176" s="108"/>
      <c r="Y176" s="108"/>
      <c r="Z176" s="108"/>
      <c r="AA176" s="108"/>
      <c r="AB176" s="108"/>
      <c r="AC176" s="108"/>
      <c r="AD176" s="108"/>
      <c r="AE176" s="108"/>
      <c r="AF176" s="108"/>
      <c r="AG176" s="108"/>
      <c r="AH176" s="108"/>
      <c r="AI176" s="108"/>
      <c r="AJ176" s="109"/>
      <c r="AK176" s="49"/>
      <c r="AL176" s="49"/>
      <c r="AM176" s="116" t="str">
        <f>IF([4]回答表!BD17="●",IF([4]回答表!X45="●",[4]回答表!B212,IF([4]回答表!AA45="●",[4]回答表!B278,"")),"")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IF([4]回答表!BD17="●",IF([4]回答表!X45="●",[4]回答表!E212,IF([4]回答表!AA45="●",[4]回答表!E278,"")),"")</f>
        <v/>
      </c>
      <c r="AN179" s="84"/>
      <c r="AO179" s="84"/>
      <c r="AP179" s="84"/>
      <c r="AQ179" s="83" t="str">
        <f>IF([4]回答表!BD17="●",IF([4]回答表!X45="●",[4]回答表!E213,IF([4]回答表!AA45="●",[4]回答表!E279,"")),"")</f>
        <v/>
      </c>
      <c r="AR179" s="84"/>
      <c r="AS179" s="84"/>
      <c r="AT179" s="84"/>
      <c r="AU179" s="83" t="str">
        <f>IF([4]回答表!BD17="●",IF([4]回答表!X45="●",[4]回答表!E214,IF([4]回答表!AA45="●",[4]回答表!E280,"")),"")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IF([4]回答表!BD17="●",IF([4]回答表!AA45="●","●",""),"")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IF([4]回答表!BD17="●",IF([4]回答表!AD45="●","●",""),"")</f>
        <v/>
      </c>
      <c r="O188" s="99"/>
      <c r="P188" s="99"/>
      <c r="Q188" s="100"/>
      <c r="R188" s="38"/>
      <c r="S188" s="38"/>
      <c r="T188" s="38"/>
      <c r="U188" s="107" t="str">
        <f>IF([4]回答表!BD17="●",IF([4]回答表!AD45="●",[4]回答表!B289,""),"")</f>
        <v/>
      </c>
      <c r="V188" s="108"/>
      <c r="W188" s="108"/>
      <c r="X188" s="108"/>
      <c r="Y188" s="108"/>
      <c r="Z188" s="108"/>
      <c r="AA188" s="108"/>
      <c r="AB188" s="108"/>
      <c r="AC188" s="108"/>
      <c r="AD188" s="108"/>
      <c r="AE188" s="108"/>
      <c r="AF188" s="108"/>
      <c r="AG188" s="108"/>
      <c r="AH188" s="108"/>
      <c r="AI188" s="108"/>
      <c r="AJ188" s="109"/>
      <c r="AK188" s="55"/>
      <c r="AL188" s="55"/>
      <c r="AM188" s="107" t="str">
        <f>IF([4]回答表!BD17="●",IF([4]回答表!AD45="●",[4]回答表!B295,""),"")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IF([4]回答表!X46="●","●","")</f>
        <v/>
      </c>
      <c r="O200" s="99"/>
      <c r="P200" s="99"/>
      <c r="Q200" s="100"/>
      <c r="R200" s="38"/>
      <c r="S200" s="38"/>
      <c r="T200" s="38"/>
      <c r="U200" s="107" t="str">
        <f>IF([4]回答表!X46="●",[4]回答表!B307,IF([4]回答表!AA46="●",[4]回答表!B324,""))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IF([4]回答表!X46="●",[4]回答表!U313,IF([4]回答表!AA46="●",[4]回答表!U330,""))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IF([4]回答表!X46="●",[4]回答表!G313,IF([4]回答表!AA46="●",[4]回答表!G330,""))</f>
        <v/>
      </c>
      <c r="AN203" s="120"/>
      <c r="AO203" s="120"/>
      <c r="AP203" s="120"/>
      <c r="AQ203" s="120"/>
      <c r="AR203" s="120"/>
      <c r="AS203" s="120"/>
      <c r="AT203" s="121"/>
      <c r="AU203" s="119" t="str">
        <f>IF([4]回答表!X46="●",[4]回答表!G314,IF([4]回答表!AA46="●",[4]回答表!G331,""))</f>
        <v/>
      </c>
      <c r="AV203" s="120"/>
      <c r="AW203" s="120"/>
      <c r="AX203" s="120"/>
      <c r="AY203" s="120"/>
      <c r="AZ203" s="120"/>
      <c r="BA203" s="120"/>
      <c r="BB203" s="121"/>
      <c r="BC203" s="39"/>
      <c r="BD203" s="34"/>
      <c r="BE203" s="34"/>
      <c r="BF203" s="83" t="str">
        <f>IF([4]回答表!X46="●",[4]回答表!X313,IF([4]回答表!AA46="●",[4]回答表!X330,""))</f>
        <v/>
      </c>
      <c r="BG203" s="84"/>
      <c r="BH203" s="84"/>
      <c r="BI203" s="84"/>
      <c r="BJ203" s="83" t="str">
        <f>IF([4]回答表!X46="●",[4]回答表!X314,IF([4]回答表!AA46="●",[4]回答表!X331,""))</f>
        <v/>
      </c>
      <c r="BK203" s="84"/>
      <c r="BL203" s="84"/>
      <c r="BM203" s="87"/>
      <c r="BN203" s="83" t="str">
        <f>IF([4]回答表!X46="●",[4]回答表!X315,IF([4]回答表!AA46="●",[4]回答表!X332,""))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IF([4]回答表!AA46="●","●","")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IF([4]回答表!AD46="●","●","")</f>
        <v/>
      </c>
      <c r="O212" s="99"/>
      <c r="P212" s="99"/>
      <c r="Q212" s="100"/>
      <c r="R212" s="38"/>
      <c r="S212" s="38"/>
      <c r="T212" s="38"/>
      <c r="U212" s="107" t="str">
        <f>IF([4]回答表!AD46="●",[4]回答表!B337,"")</f>
        <v/>
      </c>
      <c r="V212" s="108"/>
      <c r="W212" s="108"/>
      <c r="X212" s="108"/>
      <c r="Y212" s="108"/>
      <c r="Z212" s="108"/>
      <c r="AA212" s="108"/>
      <c r="AB212" s="108"/>
      <c r="AC212" s="108"/>
      <c r="AD212" s="108"/>
      <c r="AE212" s="108"/>
      <c r="AF212" s="108"/>
      <c r="AG212" s="108"/>
      <c r="AH212" s="108"/>
      <c r="AI212" s="108"/>
      <c r="AJ212" s="109"/>
      <c r="AK212" s="62"/>
      <c r="AL212" s="62"/>
      <c r="AM212" s="107" t="str">
        <f>IF([4]回答表!AD46="●",[4]回答表!B343,"")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IF([4]回答表!X47="●","●","")</f>
        <v>●</v>
      </c>
      <c r="O224" s="99"/>
      <c r="P224" s="99"/>
      <c r="Q224" s="100"/>
      <c r="R224" s="38"/>
      <c r="S224" s="38"/>
      <c r="T224" s="38"/>
      <c r="U224" s="107" t="str">
        <f>IF([4]回答表!X47="●",[4]回答表!B356,IF([4]回答表!AA47="●",[4]回答表!B379,""))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IF([4]回答表!X47="●",[4]回答表!B362,"")</f>
        <v>窓口業務、検針調定業務、収納業務、還付業務、滞納整理業務、電算処理業務（料金システムを含む）、メーター交換業務、その他付帯業務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IF([4]回答表!X47="●",[4]回答表!B368,IF([4]回答表!AA47="●",[4]回答表!B385,""))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IF([4]回答表!X47="●",[4]回答表!E368,IF([4]回答表!AA47="●",[4]回答表!E385,""))</f>
        <v>22</v>
      </c>
      <c r="BG227" s="84"/>
      <c r="BH227" s="84"/>
      <c r="BI227" s="84"/>
      <c r="BJ227" s="83">
        <f>IF([4]回答表!X47="●",[4]回答表!E369,IF([4]回答表!AA47="●",[4]回答表!E386,""))</f>
        <v>11</v>
      </c>
      <c r="BK227" s="84"/>
      <c r="BL227" s="84"/>
      <c r="BM227" s="87"/>
      <c r="BN227" s="83">
        <f>IF([4]回答表!X47="●",[4]回答表!E370,IF([4]回答表!AA47="●",[4]回答表!E387,""))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IF([4]回答表!AA47="●","●","")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IF([4]回答表!AD47="●","●","")</f>
        <v/>
      </c>
      <c r="O236" s="99"/>
      <c r="P236" s="99"/>
      <c r="Q236" s="100"/>
      <c r="R236" s="38"/>
      <c r="S236" s="38"/>
      <c r="T236" s="38"/>
      <c r="U236" s="107" t="str">
        <f>IF([4]回答表!AD47="●",[4]回答表!B392,"")</f>
        <v/>
      </c>
      <c r="V236" s="108"/>
      <c r="W236" s="108"/>
      <c r="X236" s="108"/>
      <c r="Y236" s="108"/>
      <c r="Z236" s="108"/>
      <c r="AA236" s="108"/>
      <c r="AB236" s="108"/>
      <c r="AC236" s="108"/>
      <c r="AD236" s="108"/>
      <c r="AE236" s="108"/>
      <c r="AF236" s="108"/>
      <c r="AG236" s="108"/>
      <c r="AH236" s="108"/>
      <c r="AI236" s="108"/>
      <c r="AJ236" s="109"/>
      <c r="AK236" s="62"/>
      <c r="AL236" s="62"/>
      <c r="AM236" s="107" t="str">
        <f>IF([4]回答表!AD47="●",[4]回答表!B398,"")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IF([4]回答表!X48="●","●","")</f>
        <v/>
      </c>
      <c r="O248" s="99"/>
      <c r="P248" s="99"/>
      <c r="Q248" s="100"/>
      <c r="R248" s="38"/>
      <c r="S248" s="38"/>
      <c r="T248" s="38"/>
      <c r="U248" s="107" t="str">
        <f>IF([4]回答表!X48="●",[4]回答表!B411,IF([4]回答表!AA48="●",[4]回答表!B425,""))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IF([4]回答表!X48="●",[4]回答表!BC418,IF([4]回答表!AA48="●",[4]回答表!BC432,""))</f>
        <v/>
      </c>
      <c r="AR248" s="151"/>
      <c r="AS248" s="151"/>
      <c r="AT248" s="151"/>
      <c r="AU248" s="173" t="s">
        <v>73</v>
      </c>
      <c r="AV248" s="174"/>
      <c r="AW248" s="174"/>
      <c r="AX248" s="175"/>
      <c r="AY248" s="151" t="str">
        <f>IF([4]回答表!X48="●",[4]回答表!BC423,IF([4]回答表!AA48="●",[4]回答表!BC437,""))</f>
        <v/>
      </c>
      <c r="AZ248" s="151"/>
      <c r="BA248" s="151"/>
      <c r="BB248" s="151"/>
      <c r="BC248" s="39"/>
      <c r="BD248" s="34"/>
      <c r="BE248" s="34"/>
      <c r="BF248" s="116" t="str">
        <f>IF([4]回答表!X48="●",[4]回答表!S417,IF([4]回答表!AA48="●",[4]回答表!S431,""))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IF([4]回答表!X48="●",[4]回答表!BC419,IF([4]回答表!AA48="●",[4]回答表!BC433,""))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IF([4]回答表!X48="●",[4]回答表!V417,IF([4]回答表!AA48="●",[4]回答表!V431,""))</f>
        <v/>
      </c>
      <c r="BG251" s="84"/>
      <c r="BH251" s="84"/>
      <c r="BI251" s="84"/>
      <c r="BJ251" s="83" t="str">
        <f>IF([4]回答表!X48="●",[4]回答表!V418,IF([4]回答表!AA48="●",[4]回答表!V432,""))</f>
        <v/>
      </c>
      <c r="BK251" s="84"/>
      <c r="BL251" s="84"/>
      <c r="BM251" s="87"/>
      <c r="BN251" s="83" t="str">
        <f>IF([4]回答表!X48="●",[4]回答表!V419,IF([4]回答表!AA48="●",[4]回答表!V433,""))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IF([4]回答表!X48="●",[4]回答表!BC420,IF([4]回答表!AA48="●",[4]回答表!BC434,""))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IF([4]回答表!X48="●",[4]回答表!BC424,IF([4]回答表!AA48="●",[4]回答表!BC438,""))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IF([4]回答表!AA48="●","●","")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IF([4]回答表!X48="●",[4]回答表!BC421,IF([4]回答表!AA48="●",[4]回答表!BC435,""))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IF([4]回答表!X48="●",[4]回答表!BC422,IF([4]回答表!AA48="●",[4]回答表!BC436,""))</f>
        <v/>
      </c>
      <c r="AR256" s="151"/>
      <c r="AS256" s="151"/>
      <c r="AT256" s="151"/>
      <c r="AU256" s="152" t="s">
        <v>79</v>
      </c>
      <c r="AV256" s="153"/>
      <c r="AW256" s="153"/>
      <c r="AX256" s="154"/>
      <c r="AY256" s="158" t="str">
        <f>IF([4]回答表!X48="●",[4]回答表!BC425,IF([4]回答表!AA48="●",[4]回答表!BC439,""))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IF([4]回答表!AD48="●","●","")</f>
        <v/>
      </c>
      <c r="O260" s="99"/>
      <c r="P260" s="99"/>
      <c r="Q260" s="100"/>
      <c r="R260" s="38"/>
      <c r="S260" s="38"/>
      <c r="T260" s="38"/>
      <c r="U260" s="107" t="str">
        <f>IF([4]回答表!AD48="●",[4]回答表!B439,"")</f>
        <v/>
      </c>
      <c r="V260" s="108"/>
      <c r="W260" s="108"/>
      <c r="X260" s="108"/>
      <c r="Y260" s="108"/>
      <c r="Z260" s="108"/>
      <c r="AA260" s="108"/>
      <c r="AB260" s="108"/>
      <c r="AC260" s="108"/>
      <c r="AD260" s="108"/>
      <c r="AE260" s="108"/>
      <c r="AF260" s="108"/>
      <c r="AG260" s="108"/>
      <c r="AH260" s="108"/>
      <c r="AI260" s="108"/>
      <c r="AJ260" s="109"/>
      <c r="AK260" s="55"/>
      <c r="AL260" s="55"/>
      <c r="AM260" s="107" t="str">
        <f>IF([4]回答表!AD48="●",[4]回答表!B445,"")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IF([4]回答表!X49="●","●","")</f>
        <v/>
      </c>
      <c r="O271" s="99"/>
      <c r="P271" s="99"/>
      <c r="Q271" s="100"/>
      <c r="R271" s="38"/>
      <c r="S271" s="38"/>
      <c r="T271" s="38"/>
      <c r="U271" s="107" t="str">
        <f>IF([4]回答表!X49="●",[4]回答表!B458,IF([4]回答表!AA49="●",[4]回答表!B475,""))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IF([4]回答表!X49="●",[4]回答表!B468,IF([4]回答表!AA49="●",[4]回答表!B485,""))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IF([4]回答表!X49="●",[4]回答表!G464,IF([4]回答表!AA49="●",[4]回答表!G481,""))</f>
        <v/>
      </c>
      <c r="AN273" s="120"/>
      <c r="AO273" s="120"/>
      <c r="AP273" s="120"/>
      <c r="AQ273" s="120"/>
      <c r="AR273" s="120"/>
      <c r="AS273" s="120"/>
      <c r="AT273" s="121"/>
      <c r="AU273" s="119" t="str">
        <f>IF([4]回答表!X49="●",[4]回答表!G465,IF([4]回答表!AA49="●",[4]回答表!G482,""))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IF([4]回答表!X49="●",[4]回答表!E468,IF([4]回答表!AA49="●",[4]回答表!E485,""))</f>
        <v/>
      </c>
      <c r="BG274" s="84"/>
      <c r="BH274" s="84"/>
      <c r="BI274" s="84"/>
      <c r="BJ274" s="83" t="str">
        <f>IF([4]回答表!X49="●",[4]回答表!E469,IF([4]回答表!AA49="●",[4]回答表!E486,""))</f>
        <v/>
      </c>
      <c r="BK274" s="84"/>
      <c r="BL274" s="84"/>
      <c r="BM274" s="87"/>
      <c r="BN274" s="83" t="str">
        <f>IF([4]回答表!X49="●",[4]回答表!E470,IF([4]回答表!AA49="●",[4]回答表!E487,""))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IF([4]回答表!AA49="●","●","")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IF([4]回答表!AD49="●","●","")</f>
        <v/>
      </c>
      <c r="O283" s="99"/>
      <c r="P283" s="99"/>
      <c r="Q283" s="100"/>
      <c r="R283" s="38"/>
      <c r="S283" s="38"/>
      <c r="T283" s="38"/>
      <c r="U283" s="107" t="str">
        <f>IF([4]回答表!AD49="●",[4]回答表!B492,"")</f>
        <v/>
      </c>
      <c r="V283" s="108"/>
      <c r="W283" s="108"/>
      <c r="X283" s="108"/>
      <c r="Y283" s="108"/>
      <c r="Z283" s="108"/>
      <c r="AA283" s="108"/>
      <c r="AB283" s="108"/>
      <c r="AC283" s="108"/>
      <c r="AD283" s="108"/>
      <c r="AE283" s="108"/>
      <c r="AF283" s="108"/>
      <c r="AG283" s="108"/>
      <c r="AH283" s="108"/>
      <c r="AI283" s="108"/>
      <c r="AJ283" s="109"/>
      <c r="AK283" s="49"/>
      <c r="AL283" s="49"/>
      <c r="AM283" s="107" t="str">
        <f>IF([4]回答表!AD49="●",[4]回答表!B498,"")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IF([4]回答表!R50="●",[4]回答表!B511,"")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6D143-0C62-4F27-A82D-637266DE333C}">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IF(COUNTIF([5]回答表!K15,"*")&gt;0,[5]回答表!K15,"")</f>
        <v>横手市</v>
      </c>
      <c r="D11" s="299"/>
      <c r="E11" s="299"/>
      <c r="F11" s="299"/>
      <c r="G11" s="299"/>
      <c r="H11" s="299"/>
      <c r="I11" s="299"/>
      <c r="J11" s="299"/>
      <c r="K11" s="299"/>
      <c r="L11" s="299"/>
      <c r="M11" s="299"/>
      <c r="N11" s="299"/>
      <c r="O11" s="299"/>
      <c r="P11" s="299"/>
      <c r="Q11" s="299"/>
      <c r="R11" s="299"/>
      <c r="S11" s="299"/>
      <c r="T11" s="299"/>
      <c r="U11" s="306" t="str">
        <f>IF(COUNTIF([5]回答表!F17,"*")&gt;0,[5]回答表!F17,"")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IF(COUNTIF([5]回答表!W17,"*")&gt;0,[5]回答表!W17,"")</f>
        <v>林業集落排水施設</v>
      </c>
      <c r="AP11" s="301"/>
      <c r="AQ11" s="301"/>
      <c r="AR11" s="301"/>
      <c r="AS11" s="301"/>
      <c r="AT11" s="301"/>
      <c r="AU11" s="301"/>
      <c r="AV11" s="301"/>
      <c r="AW11" s="301"/>
      <c r="AX11" s="301"/>
      <c r="AY11" s="301"/>
      <c r="AZ11" s="301"/>
      <c r="BA11" s="301"/>
      <c r="BB11" s="301"/>
      <c r="BC11" s="301"/>
      <c r="BD11" s="301"/>
      <c r="BE11" s="301"/>
      <c r="BF11" s="302"/>
      <c r="BG11" s="305" t="str">
        <f>IF(COUNTIF([5]回答表!F19,"*")&gt;0,[5]回答表!F19,"")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IF([5]回答表!R43="●","●","")</f>
        <v/>
      </c>
      <c r="E24" s="123"/>
      <c r="F24" s="123"/>
      <c r="G24" s="123"/>
      <c r="H24" s="123"/>
      <c r="I24" s="123"/>
      <c r="J24" s="124"/>
      <c r="K24" s="122" t="str">
        <f>IF([5]回答表!R44="●","●","")</f>
        <v/>
      </c>
      <c r="L24" s="123"/>
      <c r="M24" s="123"/>
      <c r="N24" s="123"/>
      <c r="O24" s="123"/>
      <c r="P24" s="123"/>
      <c r="Q24" s="124"/>
      <c r="R24" s="122" t="str">
        <f>IF([5]回答表!R45="●","●","")</f>
        <v/>
      </c>
      <c r="S24" s="123"/>
      <c r="T24" s="123"/>
      <c r="U24" s="123"/>
      <c r="V24" s="123"/>
      <c r="W24" s="123"/>
      <c r="X24" s="124"/>
      <c r="Y24" s="122" t="str">
        <f>IF([5]回答表!R46="●","●","")</f>
        <v/>
      </c>
      <c r="Z24" s="123"/>
      <c r="AA24" s="123"/>
      <c r="AB24" s="123"/>
      <c r="AC24" s="123"/>
      <c r="AD24" s="123"/>
      <c r="AE24" s="124"/>
      <c r="AF24" s="122" t="str">
        <f>IF([5]回答表!R47="●","●","")</f>
        <v>●</v>
      </c>
      <c r="AG24" s="123"/>
      <c r="AH24" s="123"/>
      <c r="AI24" s="123"/>
      <c r="AJ24" s="123"/>
      <c r="AK24" s="123"/>
      <c r="AL24" s="124"/>
      <c r="AM24" s="122" t="str">
        <f>IF([5]回答表!R48="●","●","")</f>
        <v/>
      </c>
      <c r="AN24" s="123"/>
      <c r="AO24" s="123"/>
      <c r="AP24" s="123"/>
      <c r="AQ24" s="123"/>
      <c r="AR24" s="123"/>
      <c r="AS24" s="124"/>
      <c r="AT24" s="122" t="str">
        <f>IF([5]回答表!R49="●","●","")</f>
        <v/>
      </c>
      <c r="AU24" s="123"/>
      <c r="AV24" s="123"/>
      <c r="AW24" s="123"/>
      <c r="AX24" s="123"/>
      <c r="AY24" s="123"/>
      <c r="AZ24" s="124"/>
      <c r="BA24" s="18"/>
      <c r="BB24" s="119" t="str">
        <f>IF([5]回答表!R50="●","●","")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IF([5]回答表!X43="●","●","")</f>
        <v/>
      </c>
      <c r="O36" s="99"/>
      <c r="P36" s="99"/>
      <c r="Q36" s="100"/>
      <c r="R36" s="38"/>
      <c r="S36" s="38"/>
      <c r="T36" s="38"/>
      <c r="U36" s="107" t="str">
        <f>IF([5]回答表!X43="●",[5]回答表!B59,IF([5]回答表!AA43="●",[5]回答表!B79,""))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IF([5]回答表!X43="●",[5]回答表!S65,IF([5]回答表!AA43="●",[5]回答表!S85,""))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IF([5]回答表!X43="●",[5]回答表!G65,IF([5]回答表!AA43="●",[5]回答表!G85,""))</f>
        <v/>
      </c>
      <c r="AN38" s="120"/>
      <c r="AO38" s="120"/>
      <c r="AP38" s="120"/>
      <c r="AQ38" s="120"/>
      <c r="AR38" s="120"/>
      <c r="AS38" s="120"/>
      <c r="AT38" s="121"/>
      <c r="AU38" s="119" t="str">
        <f>IF([5]回答表!X43="●",[5]回答表!G66,IF([5]回答表!AA43="●",[5]回答表!G86,""))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IF([5]回答表!X43="●",[5]回答表!V65,IF([5]回答表!AA43="●",[5]回答表!V85,""))</f>
        <v/>
      </c>
      <c r="BG39" s="249"/>
      <c r="BH39" s="249"/>
      <c r="BI39" s="250"/>
      <c r="BJ39" s="83" t="str">
        <f>IF([5]回答表!X43="●",[5]回答表!V66,IF([5]回答表!AA43="●",[5]回答表!V86,""))</f>
        <v/>
      </c>
      <c r="BK39" s="249"/>
      <c r="BL39" s="249"/>
      <c r="BM39" s="250"/>
      <c r="BN39" s="83" t="str">
        <f>IF([5]回答表!X43="●",[5]回答表!V67,IF([5]回答表!AA43="●",[5]回答表!V87,""))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IF([5]回答表!X43="●",[5]回答表!O71,IF([5]回答表!AA43="●",[5]回答表!O91,""))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IF([5]回答表!X43="●",[5]回答表!O72,IF([5]回答表!AA43="●",[5]回答表!O92,""))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IF([5]回答表!AA43="●","●","")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IF([5]回答表!X43="●",[5]回答表!O73,IF([5]回答表!AA43="●",[5]回答表!O93,""))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IF([5]回答表!X43="●",[5]回答表!O74,IF([5]回答表!AA43="●",[5]回答表!O94,""))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IF([5]回答表!X43="●",[5]回答表!AG71,IF([5]回答表!AA43="●",[5]回答表!AG91,""))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IF([5]回答表!X43="●",[5]回答表!AG72,IF([5]回答表!AA43="●",[5]回答表!AG92,""))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IF([5]回答表!AD43="●","●","")</f>
        <v/>
      </c>
      <c r="O51" s="99"/>
      <c r="P51" s="99"/>
      <c r="Q51" s="100"/>
      <c r="R51" s="38"/>
      <c r="S51" s="38"/>
      <c r="T51" s="38"/>
      <c r="U51" s="107" t="str">
        <f>IF([5]回答表!AD43="●",[5]回答表!B99,"")</f>
        <v/>
      </c>
      <c r="V51" s="108"/>
      <c r="W51" s="108"/>
      <c r="X51" s="108"/>
      <c r="Y51" s="108"/>
      <c r="Z51" s="108"/>
      <c r="AA51" s="108"/>
      <c r="AB51" s="108"/>
      <c r="AC51" s="108"/>
      <c r="AD51" s="108"/>
      <c r="AE51" s="108"/>
      <c r="AF51" s="108"/>
      <c r="AG51" s="108"/>
      <c r="AH51" s="108"/>
      <c r="AI51" s="108"/>
      <c r="AJ51" s="109"/>
      <c r="AK51" s="55"/>
      <c r="AL51" s="55"/>
      <c r="AM51" s="107" t="str">
        <f>IF([5]回答表!AD43="●",[5]回答表!B104,"")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IF([5]回答表!X44="●","●","")</f>
        <v/>
      </c>
      <c r="O62" s="99"/>
      <c r="P62" s="99"/>
      <c r="Q62" s="100"/>
      <c r="R62" s="38"/>
      <c r="S62" s="38"/>
      <c r="T62" s="38"/>
      <c r="U62" s="107" t="str">
        <f>IF([5]回答表!X44="●",[5]回答表!B115,IF([5]回答表!AA44="●",[5]回答表!B127,""))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IF([5]回答表!X44="●",[5]回答表!S121,IF([5]回答表!AA44="●",[5]回答表!S133,""))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IF([5]回答表!X44="●",[5]回答表!J121,IF([5]回答表!AA44="●",[5]回答表!J133,""))</f>
        <v/>
      </c>
      <c r="AN65" s="120"/>
      <c r="AO65" s="120"/>
      <c r="AP65" s="120"/>
      <c r="AQ65" s="120"/>
      <c r="AR65" s="120"/>
      <c r="AS65" s="120"/>
      <c r="AT65" s="121"/>
      <c r="AU65" s="119" t="str">
        <f>IF([5]回答表!X44="●",[5]回答表!J122,IF([5]回答表!AA44="●",[5]回答表!J134,""))</f>
        <v/>
      </c>
      <c r="AV65" s="120"/>
      <c r="AW65" s="120"/>
      <c r="AX65" s="120"/>
      <c r="AY65" s="120"/>
      <c r="AZ65" s="120"/>
      <c r="BA65" s="120"/>
      <c r="BB65" s="121"/>
      <c r="BC65" s="39"/>
      <c r="BD65" s="34"/>
      <c r="BE65" s="34"/>
      <c r="BF65" s="83" t="str">
        <f>IF([5]回答表!X44="●",[5]回答表!V121,IF([5]回答表!AA44="●",[5]回答表!V133,""))</f>
        <v/>
      </c>
      <c r="BG65" s="84"/>
      <c r="BH65" s="84"/>
      <c r="BI65" s="84"/>
      <c r="BJ65" s="83" t="str">
        <f>IF([5]回答表!X44="●",[5]回答表!V122,IF([5]回答表!AA44="●",[5]回答表!V134,""))</f>
        <v/>
      </c>
      <c r="BK65" s="84"/>
      <c r="BL65" s="84"/>
      <c r="BM65" s="84"/>
      <c r="BN65" s="83" t="str">
        <f>IF([5]回答表!X44="●",[5]回答表!V123,IF([5]回答表!AA44="●",[5]回答表!V135,""))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IF([5]回答表!AA44="●","●","")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IF([5]回答表!AD44="●","●","")</f>
        <v/>
      </c>
      <c r="O74" s="99"/>
      <c r="P74" s="99"/>
      <c r="Q74" s="100"/>
      <c r="R74" s="38"/>
      <c r="S74" s="38"/>
      <c r="T74" s="38"/>
      <c r="U74" s="107" t="str">
        <f>IF([5]回答表!AD44="●",[5]回答表!B140,"")</f>
        <v/>
      </c>
      <c r="V74" s="108"/>
      <c r="W74" s="108"/>
      <c r="X74" s="108"/>
      <c r="Y74" s="108"/>
      <c r="Z74" s="108"/>
      <c r="AA74" s="108"/>
      <c r="AB74" s="108"/>
      <c r="AC74" s="108"/>
      <c r="AD74" s="108"/>
      <c r="AE74" s="108"/>
      <c r="AF74" s="108"/>
      <c r="AG74" s="108"/>
      <c r="AH74" s="108"/>
      <c r="AI74" s="108"/>
      <c r="AJ74" s="109"/>
      <c r="AK74" s="55"/>
      <c r="AL74" s="55"/>
      <c r="AM74" s="107" t="str">
        <f>IF([5]回答表!AD44="●",[5]回答表!B146,"")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IF([5]回答表!F17="水道事業",IF([5]回答表!X45="●","●",""),"")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IF([5]回答表!F17="水道事業",IF([5]回答表!X45="●",[5]回答表!B158,IF([5]回答表!AA45="●",[5]回答表!B223,"")),"")</f>
        <v/>
      </c>
      <c r="AN86" s="212"/>
      <c r="AO86" s="212"/>
      <c r="AP86" s="212"/>
      <c r="AQ86" s="212"/>
      <c r="AR86" s="212"/>
      <c r="AS86" s="212"/>
      <c r="AT86" s="212"/>
      <c r="AU86" s="212"/>
      <c r="AV86" s="212"/>
      <c r="AW86" s="212"/>
      <c r="AX86" s="212"/>
      <c r="AY86" s="212"/>
      <c r="AZ86" s="212"/>
      <c r="BA86" s="212"/>
      <c r="BB86" s="212"/>
      <c r="BC86" s="213"/>
      <c r="BD86" s="34"/>
      <c r="BE86" s="34"/>
      <c r="BF86" s="116" t="str">
        <f>IF([5]回答表!F17="水道事業",IF([5]回答表!X45="●",[5]回答表!B212,IF([5]回答表!AA45="●",[5]回答表!B278,"")),"")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IF([5]回答表!F17="水道事業",IF([5]回答表!X45="●",[5]回答表!J166,IF([5]回答表!AA45="●",[5]回答表!J231,"")),"")</f>
        <v/>
      </c>
      <c r="V88" s="120"/>
      <c r="W88" s="120"/>
      <c r="X88" s="120"/>
      <c r="Y88" s="120"/>
      <c r="Z88" s="120"/>
      <c r="AA88" s="120"/>
      <c r="AB88" s="121"/>
      <c r="AC88" s="119" t="str">
        <f>IF([5]回答表!F17="水道事業",IF([5]回答表!X45="●",[5]回答表!J173,IF([5]回答表!AA45="●",[5]回答表!J238,"")),"")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IF([5]回答表!F17="水道事業",IF([5]回答表!X45="●",[5]回答表!E212,IF([5]回答表!AA45="●",[5]回答表!E278,"")),"")</f>
        <v/>
      </c>
      <c r="BG89" s="84"/>
      <c r="BH89" s="84"/>
      <c r="BI89" s="84"/>
      <c r="BJ89" s="83" t="str">
        <f>IF([5]回答表!F17="水道事業",IF([5]回答表!X45="●",[5]回答表!E213,IF([5]回答表!AA45="●",[5]回答表!E279,"")),"")</f>
        <v/>
      </c>
      <c r="BK89" s="84"/>
      <c r="BL89" s="84"/>
      <c r="BM89" s="84"/>
      <c r="BN89" s="83" t="str">
        <f>IF([5]回答表!F17="水道事業",IF([5]回答表!X45="●",[5]回答表!E214,IF([5]回答表!AA45="●",[5]回答表!E280,"")),"")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IF([5]回答表!F17="水道事業",IF([5]回答表!AA45="●","●",""),"")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IF([5]回答表!F17="水道事業",IF([5]回答表!X45="●",[5]回答表!J176,IF([5]回答表!AA45="●",[5]回答表!J241,"")),"")</f>
        <v/>
      </c>
      <c r="V93" s="120"/>
      <c r="W93" s="120"/>
      <c r="X93" s="120"/>
      <c r="Y93" s="120"/>
      <c r="Z93" s="120"/>
      <c r="AA93" s="120"/>
      <c r="AB93" s="121"/>
      <c r="AC93" s="119" t="str">
        <f>IF([5]回答表!F17="水道事業",IF([5]回答表!X45="●",[5]回答表!J180,IF([5]回答表!AA45="●",[5]回答表!J245,"")),"")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IF([5]回答表!F17="水道事業",IF([5]回答表!AD45="○","○",""),"")</f>
        <v/>
      </c>
      <c r="O98" s="99"/>
      <c r="P98" s="99"/>
      <c r="Q98" s="100"/>
      <c r="R98" s="38"/>
      <c r="S98" s="38"/>
      <c r="T98" s="38"/>
      <c r="U98" s="107" t="str">
        <f>IF([5]回答表!F17="水道事業",IF([5]回答表!AD45="●",[5]回答表!B289,""),"")</f>
        <v/>
      </c>
      <c r="V98" s="108"/>
      <c r="W98" s="108"/>
      <c r="X98" s="108"/>
      <c r="Y98" s="108"/>
      <c r="Z98" s="108"/>
      <c r="AA98" s="108"/>
      <c r="AB98" s="108"/>
      <c r="AC98" s="108"/>
      <c r="AD98" s="108"/>
      <c r="AE98" s="108"/>
      <c r="AF98" s="108"/>
      <c r="AG98" s="108"/>
      <c r="AH98" s="108"/>
      <c r="AI98" s="108"/>
      <c r="AJ98" s="109"/>
      <c r="AK98" s="55"/>
      <c r="AL98" s="55"/>
      <c r="AM98" s="107" t="str">
        <f>IF([5]回答表!F17="水道事業",IF([5]回答表!AD45="●",[5]回答表!B295,""),"")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IF([5]回答表!F17="簡易水道事業",IF([5]回答表!X45="●",[5]回答表!B158,IF([5]回答表!AA45="●",[5]回答表!B223,"")),"")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IF([5]回答表!F17="簡易水道事業",IF([5]回答表!X45="●",[5]回答表!B212,IF([5]回答表!AA45="●",[5]回答表!B278,"")),"")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IF([5]回答表!F17="簡易水道事業",IF([5]回答表!X45="●","●",""),"")</f>
        <v/>
      </c>
      <c r="O112" s="99"/>
      <c r="P112" s="99"/>
      <c r="Q112" s="100"/>
      <c r="R112" s="38"/>
      <c r="S112" s="38"/>
      <c r="T112" s="38"/>
      <c r="U112" s="119" t="str">
        <f>IF([5]回答表!F17="簡易水道事業",IF([5]回答表!X45="●",[5]回答表!Y185,IF([5]回答表!AA45="●",[5]回答表!Y251,"")),"")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IF([5]回答表!F17="簡易水道事業",IF([5]回答表!X45="●",[5]回答表!E212,IF([5]回答表!AA45="●",[5]回答表!E278,"")),"")</f>
        <v/>
      </c>
      <c r="BG113" s="84"/>
      <c r="BH113" s="84"/>
      <c r="BI113" s="84"/>
      <c r="BJ113" s="83" t="str">
        <f>IF([5]回答表!F17="簡易水道事業",IF([5]回答表!X45="●",[5]回答表!E213,IF([5]回答表!AA45="●",[5]回答表!E279,"")),"")</f>
        <v/>
      </c>
      <c r="BK113" s="84"/>
      <c r="BL113" s="84"/>
      <c r="BM113" s="84"/>
      <c r="BN113" s="83" t="str">
        <f>IF([5]回答表!F17="簡易水道事業",IF([5]回答表!X45="●",[5]回答表!E214,IF([5]回答表!AA45="●",[5]回答表!E280,"")),"")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IF([5]回答表!F17="簡易水道事業",IF([5]回答表!X45="●",[5]回答表!Y186,IF([5]回答表!AA45="●",[5]回答表!Y252,"")),"")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IF([5]回答表!F17="簡易水道事業",IF([5]回答表!AA45="●","●",""),"")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IF([5]回答表!F17="簡易水道事業",IF([5]回答表!X45="●",[5]回答表!Y187,IF([5]回答表!AA45="●",[5]回答表!Y253,"")),"")</f>
        <v/>
      </c>
      <c r="V122" s="120"/>
      <c r="W122" s="120"/>
      <c r="X122" s="120"/>
      <c r="Y122" s="120"/>
      <c r="Z122" s="120"/>
      <c r="AA122" s="120"/>
      <c r="AB122" s="120"/>
      <c r="AC122" s="120"/>
      <c r="AD122" s="120"/>
      <c r="AE122" s="120"/>
      <c r="AF122" s="120"/>
      <c r="AG122" s="120"/>
      <c r="AH122" s="120"/>
      <c r="AI122" s="120"/>
      <c r="AJ122" s="121"/>
      <c r="AK122" s="18"/>
      <c r="AL122" s="18"/>
      <c r="AM122" s="228" t="str">
        <f>IF([5]回答表!F17="簡易水道事業",IF([5]回答表!X45="●",[5]回答表!Y189,IF([5]回答表!AA45="●",[5]回答表!Y255,"")),"")</f>
        <v/>
      </c>
      <c r="AN122" s="228"/>
      <c r="AO122" s="228"/>
      <c r="AP122" s="228"/>
      <c r="AQ122" s="228"/>
      <c r="AR122" s="228"/>
      <c r="AS122" s="228" t="str">
        <f>IF([5]回答表!F17="簡易水道事業",IF([5]回答表!X45="●",[5]回答表!Y190,IF([5]回答表!AA45="●",[5]回答表!Y256,"")),"")</f>
        <v/>
      </c>
      <c r="AT122" s="228"/>
      <c r="AU122" s="228"/>
      <c r="AV122" s="228"/>
      <c r="AW122" s="228"/>
      <c r="AX122" s="228"/>
      <c r="AY122" s="228" t="str">
        <f>IF([5]回答表!F17="簡易水道事業",IF([5]回答表!X45="●",[5]回答表!Y191,IF([5]回答表!AA45="●",[5]回答表!Y257,"")),"")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IF([5]回答表!F17="簡易水道事業",IF([5]回答表!AD45="●","●",""),"")</f>
        <v/>
      </c>
      <c r="O127" s="99"/>
      <c r="P127" s="99"/>
      <c r="Q127" s="100"/>
      <c r="R127" s="38"/>
      <c r="S127" s="38"/>
      <c r="T127" s="38"/>
      <c r="U127" s="107" t="str">
        <f>IF([5]回答表!F17="簡易水道事業",IF([5]回答表!AD45="●",[5]回答表!B289,""),"")</f>
        <v/>
      </c>
      <c r="V127" s="108"/>
      <c r="W127" s="108"/>
      <c r="X127" s="108"/>
      <c r="Y127" s="108"/>
      <c r="Z127" s="108"/>
      <c r="AA127" s="108"/>
      <c r="AB127" s="108"/>
      <c r="AC127" s="108"/>
      <c r="AD127" s="108"/>
      <c r="AE127" s="108"/>
      <c r="AF127" s="108"/>
      <c r="AG127" s="108"/>
      <c r="AH127" s="108"/>
      <c r="AI127" s="108"/>
      <c r="AJ127" s="109"/>
      <c r="AK127" s="55"/>
      <c r="AL127" s="55"/>
      <c r="AM127" s="107" t="str">
        <f>IF([5]回答表!F17="簡易水道事業",IF([5]回答表!AD45="●",[5]回答表!B295,""),"")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IF([5]回答表!F17="下水道事業",IF([5]回答表!X45="●","●",""),"")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IF([5]回答表!F17="下水道事業",IF([5]回答表!X45="●",[5]回答表!B158,IF([5]回答表!AA45="●",[5]回答表!B223,"")),"")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IF([5]回答表!F17="下水道事業",IF([5]回答表!X45="●",[5]回答表!B212,IF([5]回答表!AA45="●",[5]回答表!B278,"")),"")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IF([5]回答表!F17="下水道事業",IF([5]回答表!X45="●",[5]回答表!Y193,IF([5]回答表!AA45="●",[5]回答表!Y259,"")),"")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IF([5]回答表!F17="下水道事業",IF([5]回答表!X45="●",[5]回答表!E212,IF([5]回答表!AA45="●",[5]回答表!E278,"")),"")</f>
        <v/>
      </c>
      <c r="BG142" s="84"/>
      <c r="BH142" s="84"/>
      <c r="BI142" s="84"/>
      <c r="BJ142" s="83" t="str">
        <f>IF([5]回答表!F17="下水道事業",IF([5]回答表!X45="●",[5]回答表!E213,IF([5]回答表!AA45="●",[5]回答表!E279,"")),"")</f>
        <v/>
      </c>
      <c r="BK142" s="84"/>
      <c r="BL142" s="84"/>
      <c r="BM142" s="84"/>
      <c r="BN142" s="83" t="str">
        <f>IF([5]回答表!F17="下水道事業",IF([5]回答表!X45="●",[5]回答表!E214,IF([5]回答表!AA45="●",[5]回答表!E280,"")),"")</f>
        <v/>
      </c>
      <c r="BO142" s="84"/>
      <c r="BP142" s="84"/>
      <c r="BQ142" s="87"/>
      <c r="BR142" s="37"/>
      <c r="BX142" s="211" t="str">
        <f>IF([5]回答表!AQ20="下水道事業",IF([5]回答表!BI48="○",[5]回答表!AM161,IF([5]回答表!BL48="○",[5]回答表!AM226,"")),"")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IF([5]回答表!F17="下水道事業",IF([5]回答表!X45="●",[5]回答表!Y195,IF([5]回答表!AA45="●",[5]回答表!Y261,"")),"")</f>
        <v/>
      </c>
      <c r="V147" s="120"/>
      <c r="W147" s="120"/>
      <c r="X147" s="120"/>
      <c r="Y147" s="120"/>
      <c r="Z147" s="120"/>
      <c r="AA147" s="120"/>
      <c r="AB147" s="121"/>
      <c r="AC147" s="119" t="str">
        <f>IF([5]回答表!F17="下水道事業",IF([5]回答表!X45="●",[5]回答表!Y196,IF([5]回答表!AA45="●",[5]回答表!Y262,"")),"")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IF([5]回答表!F17="下水道事業",IF([5]回答表!X45="●",[5]回答表!Y198,IF([5]回答表!AA45="●",[5]回答表!Y264,"")),"")</f>
        <v/>
      </c>
      <c r="V153" s="120"/>
      <c r="W153" s="120"/>
      <c r="X153" s="120"/>
      <c r="Y153" s="120"/>
      <c r="Z153" s="120"/>
      <c r="AA153" s="120"/>
      <c r="AB153" s="121"/>
      <c r="AC153" s="119" t="str">
        <f>IF([5]回答表!F17="下水道事業",IF([5]回答表!X45="●",[5]回答表!Y199,IF([5]回答表!AA45="●",[5]回答表!Y265,"")),"")</f>
        <v/>
      </c>
      <c r="AD153" s="120"/>
      <c r="AE153" s="120"/>
      <c r="AF153" s="120"/>
      <c r="AG153" s="120"/>
      <c r="AH153" s="120"/>
      <c r="AI153" s="120"/>
      <c r="AJ153" s="121"/>
      <c r="AK153" s="119" t="str">
        <f>IF([5]回答表!F17="下水道事業",IF([5]回答表!X45="●",[5]回答表!Y200,IF([5]回答表!AA45="●",[5]回答表!Y266,"")),"")</f>
        <v/>
      </c>
      <c r="AL153" s="120"/>
      <c r="AM153" s="120"/>
      <c r="AN153" s="120"/>
      <c r="AO153" s="120"/>
      <c r="AP153" s="120"/>
      <c r="AQ153" s="120"/>
      <c r="AR153" s="121"/>
      <c r="AS153" s="119" t="str">
        <f>IF([5]回答表!F17="下水道事業",IF([5]回答表!X45="●",[5]回答表!Y201,IF([5]回答表!AA45="●",[5]回答表!Y267,"")),"")</f>
        <v/>
      </c>
      <c r="AT153" s="120"/>
      <c r="AU153" s="120"/>
      <c r="AV153" s="120"/>
      <c r="AW153" s="120"/>
      <c r="AX153" s="120"/>
      <c r="AY153" s="120"/>
      <c r="AZ153" s="121"/>
      <c r="BA153" s="119" t="str">
        <f>IF([5]回答表!F17="下水道事業",IF([5]回答表!X45="●",[5]回答表!Y202,IF([5]回答表!AA45="●",[5]回答表!Y268,"")),"")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IF([5]回答表!F17="下水道事業",IF([5]回答表!AA45="●","●",""),"")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IF([5]回答表!F17="下水道事業",IF([5]回答表!X45="●",[5]回答表!Y207,IF([5]回答表!AA45="●",[5]回答表!Y273,"")),"")</f>
        <v/>
      </c>
      <c r="V159" s="120"/>
      <c r="W159" s="120"/>
      <c r="X159" s="120"/>
      <c r="Y159" s="120"/>
      <c r="Z159" s="120"/>
      <c r="AA159" s="120"/>
      <c r="AB159" s="121"/>
      <c r="AC159" s="119" t="str">
        <f>IF([5]回答表!F17="下水道事業",IF([5]回答表!X45="●",[5]回答表!Y208,IF([5]回答表!AA45="●",[5]回答表!Y274,"")),"")</f>
        <v/>
      </c>
      <c r="AD159" s="120"/>
      <c r="AE159" s="120"/>
      <c r="AF159" s="120"/>
      <c r="AG159" s="120"/>
      <c r="AH159" s="120"/>
      <c r="AI159" s="120"/>
      <c r="AJ159" s="121"/>
      <c r="AK159" s="119" t="str">
        <f>IF([5]回答表!F17="下水道事業",IF([5]回答表!X45="●",[5]回答表!Y209,IF([5]回答表!AA45="●",[5]回答表!Y275,"")),"")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IF([5]回答表!F17="下水道事業",IF([5]回答表!AD45="●","●",""),"")</f>
        <v/>
      </c>
      <c r="O164" s="99"/>
      <c r="P164" s="99"/>
      <c r="Q164" s="100"/>
      <c r="R164" s="38"/>
      <c r="S164" s="38"/>
      <c r="T164" s="38"/>
      <c r="U164" s="107" t="str">
        <f>IF([5]回答表!F17="下水道事業",IF([5]回答表!AD45="●",[5]回答表!B289,""),"")</f>
        <v/>
      </c>
      <c r="V164" s="108"/>
      <c r="W164" s="108"/>
      <c r="X164" s="108"/>
      <c r="Y164" s="108"/>
      <c r="Z164" s="108"/>
      <c r="AA164" s="108"/>
      <c r="AB164" s="108"/>
      <c r="AC164" s="108"/>
      <c r="AD164" s="108"/>
      <c r="AE164" s="108"/>
      <c r="AF164" s="108"/>
      <c r="AG164" s="108"/>
      <c r="AH164" s="108"/>
      <c r="AI164" s="108"/>
      <c r="AJ164" s="109"/>
      <c r="AK164" s="55"/>
      <c r="AL164" s="55"/>
      <c r="AM164" s="107" t="str">
        <f>IF([5]回答表!F17="下水道事業",IF([5]回答表!AD45="●",[5]回答表!B295,""),"")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IF([5]回答表!BD17="●",IF([5]回答表!X45="●","●",""),"")</f>
        <v/>
      </c>
      <c r="O176" s="99"/>
      <c r="P176" s="99"/>
      <c r="Q176" s="100"/>
      <c r="R176" s="38"/>
      <c r="S176" s="38"/>
      <c r="T176" s="38"/>
      <c r="U176" s="107" t="str">
        <f>IF([5]回答表!BD17="●",IF([5]回答表!X45="●",[5]回答表!B158,IF([5]回答表!AA45="●",[5]回答表!B223,"")),"")</f>
        <v/>
      </c>
      <c r="V176" s="108"/>
      <c r="W176" s="108"/>
      <c r="X176" s="108"/>
      <c r="Y176" s="108"/>
      <c r="Z176" s="108"/>
      <c r="AA176" s="108"/>
      <c r="AB176" s="108"/>
      <c r="AC176" s="108"/>
      <c r="AD176" s="108"/>
      <c r="AE176" s="108"/>
      <c r="AF176" s="108"/>
      <c r="AG176" s="108"/>
      <c r="AH176" s="108"/>
      <c r="AI176" s="108"/>
      <c r="AJ176" s="109"/>
      <c r="AK176" s="49"/>
      <c r="AL176" s="49"/>
      <c r="AM176" s="116" t="str">
        <f>IF([5]回答表!BD17="●",IF([5]回答表!X45="●",[5]回答表!B212,IF([5]回答表!AA45="●",[5]回答表!B278,"")),"")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IF([5]回答表!BD17="●",IF([5]回答表!X45="●",[5]回答表!E212,IF([5]回答表!AA45="●",[5]回答表!E278,"")),"")</f>
        <v/>
      </c>
      <c r="AN179" s="84"/>
      <c r="AO179" s="84"/>
      <c r="AP179" s="84"/>
      <c r="AQ179" s="83" t="str">
        <f>IF([5]回答表!BD17="●",IF([5]回答表!X45="●",[5]回答表!E213,IF([5]回答表!AA45="●",[5]回答表!E279,"")),"")</f>
        <v/>
      </c>
      <c r="AR179" s="84"/>
      <c r="AS179" s="84"/>
      <c r="AT179" s="84"/>
      <c r="AU179" s="83" t="str">
        <f>IF([5]回答表!BD17="●",IF([5]回答表!X45="●",[5]回答表!E214,IF([5]回答表!AA45="●",[5]回答表!E280,"")),"")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IF([5]回答表!BD17="●",IF([5]回答表!AA45="●","●",""),"")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IF([5]回答表!BD17="●",IF([5]回答表!AD45="●","●",""),"")</f>
        <v/>
      </c>
      <c r="O188" s="99"/>
      <c r="P188" s="99"/>
      <c r="Q188" s="100"/>
      <c r="R188" s="38"/>
      <c r="S188" s="38"/>
      <c r="T188" s="38"/>
      <c r="U188" s="107" t="str">
        <f>IF([5]回答表!BD17="●",IF([5]回答表!AD45="●",[5]回答表!B289,""),"")</f>
        <v/>
      </c>
      <c r="V188" s="108"/>
      <c r="W188" s="108"/>
      <c r="X188" s="108"/>
      <c r="Y188" s="108"/>
      <c r="Z188" s="108"/>
      <c r="AA188" s="108"/>
      <c r="AB188" s="108"/>
      <c r="AC188" s="108"/>
      <c r="AD188" s="108"/>
      <c r="AE188" s="108"/>
      <c r="AF188" s="108"/>
      <c r="AG188" s="108"/>
      <c r="AH188" s="108"/>
      <c r="AI188" s="108"/>
      <c r="AJ188" s="109"/>
      <c r="AK188" s="55"/>
      <c r="AL188" s="55"/>
      <c r="AM188" s="107" t="str">
        <f>IF([5]回答表!BD17="●",IF([5]回答表!AD45="●",[5]回答表!B295,""),"")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IF([5]回答表!X46="●","●","")</f>
        <v/>
      </c>
      <c r="O200" s="99"/>
      <c r="P200" s="99"/>
      <c r="Q200" s="100"/>
      <c r="R200" s="38"/>
      <c r="S200" s="38"/>
      <c r="T200" s="38"/>
      <c r="U200" s="107" t="str">
        <f>IF([5]回答表!X46="●",[5]回答表!B307,IF([5]回答表!AA46="●",[5]回答表!B324,""))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IF([5]回答表!X46="●",[5]回答表!U313,IF([5]回答表!AA46="●",[5]回答表!U330,""))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IF([5]回答表!X46="●",[5]回答表!G313,IF([5]回答表!AA46="●",[5]回答表!G330,""))</f>
        <v/>
      </c>
      <c r="AN203" s="120"/>
      <c r="AO203" s="120"/>
      <c r="AP203" s="120"/>
      <c r="AQ203" s="120"/>
      <c r="AR203" s="120"/>
      <c r="AS203" s="120"/>
      <c r="AT203" s="121"/>
      <c r="AU203" s="119" t="str">
        <f>IF([5]回答表!X46="●",[5]回答表!G314,IF([5]回答表!AA46="●",[5]回答表!G331,""))</f>
        <v/>
      </c>
      <c r="AV203" s="120"/>
      <c r="AW203" s="120"/>
      <c r="AX203" s="120"/>
      <c r="AY203" s="120"/>
      <c r="AZ203" s="120"/>
      <c r="BA203" s="120"/>
      <c r="BB203" s="121"/>
      <c r="BC203" s="39"/>
      <c r="BD203" s="34"/>
      <c r="BE203" s="34"/>
      <c r="BF203" s="83" t="str">
        <f>IF([5]回答表!X46="●",[5]回答表!X313,IF([5]回答表!AA46="●",[5]回答表!X330,""))</f>
        <v/>
      </c>
      <c r="BG203" s="84"/>
      <c r="BH203" s="84"/>
      <c r="BI203" s="84"/>
      <c r="BJ203" s="83" t="str">
        <f>IF([5]回答表!X46="●",[5]回答表!X314,IF([5]回答表!AA46="●",[5]回答表!X331,""))</f>
        <v/>
      </c>
      <c r="BK203" s="84"/>
      <c r="BL203" s="84"/>
      <c r="BM203" s="87"/>
      <c r="BN203" s="83" t="str">
        <f>IF([5]回答表!X46="●",[5]回答表!X315,IF([5]回答表!AA46="●",[5]回答表!X332,""))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IF([5]回答表!AA46="●","●","")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IF([5]回答表!AD46="●","●","")</f>
        <v/>
      </c>
      <c r="O212" s="99"/>
      <c r="P212" s="99"/>
      <c r="Q212" s="100"/>
      <c r="R212" s="38"/>
      <c r="S212" s="38"/>
      <c r="T212" s="38"/>
      <c r="U212" s="107" t="str">
        <f>IF([5]回答表!AD46="●",[5]回答表!B337,"")</f>
        <v/>
      </c>
      <c r="V212" s="108"/>
      <c r="W212" s="108"/>
      <c r="X212" s="108"/>
      <c r="Y212" s="108"/>
      <c r="Z212" s="108"/>
      <c r="AA212" s="108"/>
      <c r="AB212" s="108"/>
      <c r="AC212" s="108"/>
      <c r="AD212" s="108"/>
      <c r="AE212" s="108"/>
      <c r="AF212" s="108"/>
      <c r="AG212" s="108"/>
      <c r="AH212" s="108"/>
      <c r="AI212" s="108"/>
      <c r="AJ212" s="109"/>
      <c r="AK212" s="62"/>
      <c r="AL212" s="62"/>
      <c r="AM212" s="107" t="str">
        <f>IF([5]回答表!AD46="●",[5]回答表!B343,"")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IF([5]回答表!X47="●","●","")</f>
        <v>●</v>
      </c>
      <c r="O224" s="99"/>
      <c r="P224" s="99"/>
      <c r="Q224" s="100"/>
      <c r="R224" s="38"/>
      <c r="S224" s="38"/>
      <c r="T224" s="38"/>
      <c r="U224" s="107" t="str">
        <f>IF([5]回答表!X47="●",[5]回答表!B356,IF([5]回答表!AA47="●",[5]回答表!B379,""))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IF([5]回答表!X47="●",[5]回答表!B362,"")</f>
        <v>窓口業務、検針調定業務、収納業務、還付業務、滞納整理業務、電算処理業務（料金システムを含む）、メーター交換業務、その他付帯業務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IF([5]回答表!X47="●",[5]回答表!B368,IF([5]回答表!AA47="●",[5]回答表!B385,""))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IF([5]回答表!X47="●",[5]回答表!E368,IF([5]回答表!AA47="●",[5]回答表!E385,""))</f>
        <v>22</v>
      </c>
      <c r="BG227" s="84"/>
      <c r="BH227" s="84"/>
      <c r="BI227" s="84"/>
      <c r="BJ227" s="83">
        <f>IF([5]回答表!X47="●",[5]回答表!E369,IF([5]回答表!AA47="●",[5]回答表!E386,""))</f>
        <v>11</v>
      </c>
      <c r="BK227" s="84"/>
      <c r="BL227" s="84"/>
      <c r="BM227" s="87"/>
      <c r="BN227" s="83">
        <f>IF([5]回答表!X47="●",[5]回答表!E370,IF([5]回答表!AA47="●",[5]回答表!E387,""))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IF([5]回答表!AA47="●","●","")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IF([5]回答表!AD47="●","●","")</f>
        <v/>
      </c>
      <c r="O236" s="99"/>
      <c r="P236" s="99"/>
      <c r="Q236" s="100"/>
      <c r="R236" s="38"/>
      <c r="S236" s="38"/>
      <c r="T236" s="38"/>
      <c r="U236" s="107" t="str">
        <f>IF([5]回答表!AD47="●",[5]回答表!B392,"")</f>
        <v/>
      </c>
      <c r="V236" s="108"/>
      <c r="W236" s="108"/>
      <c r="X236" s="108"/>
      <c r="Y236" s="108"/>
      <c r="Z236" s="108"/>
      <c r="AA236" s="108"/>
      <c r="AB236" s="108"/>
      <c r="AC236" s="108"/>
      <c r="AD236" s="108"/>
      <c r="AE236" s="108"/>
      <c r="AF236" s="108"/>
      <c r="AG236" s="108"/>
      <c r="AH236" s="108"/>
      <c r="AI236" s="108"/>
      <c r="AJ236" s="109"/>
      <c r="AK236" s="62"/>
      <c r="AL236" s="62"/>
      <c r="AM236" s="107" t="str">
        <f>IF([5]回答表!AD47="●",[5]回答表!B398,"")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IF([5]回答表!X48="●","●","")</f>
        <v/>
      </c>
      <c r="O248" s="99"/>
      <c r="P248" s="99"/>
      <c r="Q248" s="100"/>
      <c r="R248" s="38"/>
      <c r="S248" s="38"/>
      <c r="T248" s="38"/>
      <c r="U248" s="107" t="str">
        <f>IF([5]回答表!X48="●",[5]回答表!B411,IF([5]回答表!AA48="●",[5]回答表!B425,""))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IF([5]回答表!X48="●",[5]回答表!BC418,IF([5]回答表!AA48="●",[5]回答表!BC432,""))</f>
        <v/>
      </c>
      <c r="AR248" s="151"/>
      <c r="AS248" s="151"/>
      <c r="AT248" s="151"/>
      <c r="AU248" s="173" t="s">
        <v>73</v>
      </c>
      <c r="AV248" s="174"/>
      <c r="AW248" s="174"/>
      <c r="AX248" s="175"/>
      <c r="AY248" s="151" t="str">
        <f>IF([5]回答表!X48="●",[5]回答表!BC423,IF([5]回答表!AA48="●",[5]回答表!BC437,""))</f>
        <v/>
      </c>
      <c r="AZ248" s="151"/>
      <c r="BA248" s="151"/>
      <c r="BB248" s="151"/>
      <c r="BC248" s="39"/>
      <c r="BD248" s="34"/>
      <c r="BE248" s="34"/>
      <c r="BF248" s="116" t="str">
        <f>IF([5]回答表!X48="●",[5]回答表!S417,IF([5]回答表!AA48="●",[5]回答表!S431,""))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IF([5]回答表!X48="●",[5]回答表!BC419,IF([5]回答表!AA48="●",[5]回答表!BC433,""))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IF([5]回答表!X48="●",[5]回答表!V417,IF([5]回答表!AA48="●",[5]回答表!V431,""))</f>
        <v/>
      </c>
      <c r="BG251" s="84"/>
      <c r="BH251" s="84"/>
      <c r="BI251" s="84"/>
      <c r="BJ251" s="83" t="str">
        <f>IF([5]回答表!X48="●",[5]回答表!V418,IF([5]回答表!AA48="●",[5]回答表!V432,""))</f>
        <v/>
      </c>
      <c r="BK251" s="84"/>
      <c r="BL251" s="84"/>
      <c r="BM251" s="87"/>
      <c r="BN251" s="83" t="str">
        <f>IF([5]回答表!X48="●",[5]回答表!V419,IF([5]回答表!AA48="●",[5]回答表!V433,""))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IF([5]回答表!X48="●",[5]回答表!BC420,IF([5]回答表!AA48="●",[5]回答表!BC434,""))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IF([5]回答表!X48="●",[5]回答表!BC424,IF([5]回答表!AA48="●",[5]回答表!BC438,""))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IF([5]回答表!AA48="●","●","")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IF([5]回答表!X48="●",[5]回答表!BC421,IF([5]回答表!AA48="●",[5]回答表!BC435,""))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IF([5]回答表!X48="●",[5]回答表!BC422,IF([5]回答表!AA48="●",[5]回答表!BC436,""))</f>
        <v/>
      </c>
      <c r="AR256" s="151"/>
      <c r="AS256" s="151"/>
      <c r="AT256" s="151"/>
      <c r="AU256" s="152" t="s">
        <v>79</v>
      </c>
      <c r="AV256" s="153"/>
      <c r="AW256" s="153"/>
      <c r="AX256" s="154"/>
      <c r="AY256" s="158" t="str">
        <f>IF([5]回答表!X48="●",[5]回答表!BC425,IF([5]回答表!AA48="●",[5]回答表!BC439,""))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IF([5]回答表!AD48="●","●","")</f>
        <v/>
      </c>
      <c r="O260" s="99"/>
      <c r="P260" s="99"/>
      <c r="Q260" s="100"/>
      <c r="R260" s="38"/>
      <c r="S260" s="38"/>
      <c r="T260" s="38"/>
      <c r="U260" s="107" t="str">
        <f>IF([5]回答表!AD48="●",[5]回答表!B439,"")</f>
        <v/>
      </c>
      <c r="V260" s="108"/>
      <c r="W260" s="108"/>
      <c r="X260" s="108"/>
      <c r="Y260" s="108"/>
      <c r="Z260" s="108"/>
      <c r="AA260" s="108"/>
      <c r="AB260" s="108"/>
      <c r="AC260" s="108"/>
      <c r="AD260" s="108"/>
      <c r="AE260" s="108"/>
      <c r="AF260" s="108"/>
      <c r="AG260" s="108"/>
      <c r="AH260" s="108"/>
      <c r="AI260" s="108"/>
      <c r="AJ260" s="109"/>
      <c r="AK260" s="55"/>
      <c r="AL260" s="55"/>
      <c r="AM260" s="107" t="str">
        <f>IF([5]回答表!AD48="●",[5]回答表!B445,"")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IF([5]回答表!X49="●","●","")</f>
        <v/>
      </c>
      <c r="O271" s="99"/>
      <c r="P271" s="99"/>
      <c r="Q271" s="100"/>
      <c r="R271" s="38"/>
      <c r="S271" s="38"/>
      <c r="T271" s="38"/>
      <c r="U271" s="107" t="str">
        <f>IF([5]回答表!X49="●",[5]回答表!B458,IF([5]回答表!AA49="●",[5]回答表!B475,""))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IF([5]回答表!X49="●",[5]回答表!B468,IF([5]回答表!AA49="●",[5]回答表!B485,""))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IF([5]回答表!X49="●",[5]回答表!G464,IF([5]回答表!AA49="●",[5]回答表!G481,""))</f>
        <v/>
      </c>
      <c r="AN273" s="120"/>
      <c r="AO273" s="120"/>
      <c r="AP273" s="120"/>
      <c r="AQ273" s="120"/>
      <c r="AR273" s="120"/>
      <c r="AS273" s="120"/>
      <c r="AT273" s="121"/>
      <c r="AU273" s="119" t="str">
        <f>IF([5]回答表!X49="●",[5]回答表!G465,IF([5]回答表!AA49="●",[5]回答表!G482,""))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IF([5]回答表!X49="●",[5]回答表!E468,IF([5]回答表!AA49="●",[5]回答表!E485,""))</f>
        <v/>
      </c>
      <c r="BG274" s="84"/>
      <c r="BH274" s="84"/>
      <c r="BI274" s="84"/>
      <c r="BJ274" s="83" t="str">
        <f>IF([5]回答表!X49="●",[5]回答表!E469,IF([5]回答表!AA49="●",[5]回答表!E486,""))</f>
        <v/>
      </c>
      <c r="BK274" s="84"/>
      <c r="BL274" s="84"/>
      <c r="BM274" s="87"/>
      <c r="BN274" s="83" t="str">
        <f>IF([5]回答表!X49="●",[5]回答表!E470,IF([5]回答表!AA49="●",[5]回答表!E487,""))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IF([5]回答表!AA49="●","●","")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IF([5]回答表!AD49="●","●","")</f>
        <v/>
      </c>
      <c r="O283" s="99"/>
      <c r="P283" s="99"/>
      <c r="Q283" s="100"/>
      <c r="R283" s="38"/>
      <c r="S283" s="38"/>
      <c r="T283" s="38"/>
      <c r="U283" s="107" t="str">
        <f>IF([5]回答表!AD49="●",[5]回答表!B492,"")</f>
        <v/>
      </c>
      <c r="V283" s="108"/>
      <c r="W283" s="108"/>
      <c r="X283" s="108"/>
      <c r="Y283" s="108"/>
      <c r="Z283" s="108"/>
      <c r="AA283" s="108"/>
      <c r="AB283" s="108"/>
      <c r="AC283" s="108"/>
      <c r="AD283" s="108"/>
      <c r="AE283" s="108"/>
      <c r="AF283" s="108"/>
      <c r="AG283" s="108"/>
      <c r="AH283" s="108"/>
      <c r="AI283" s="108"/>
      <c r="AJ283" s="109"/>
      <c r="AK283" s="49"/>
      <c r="AL283" s="49"/>
      <c r="AM283" s="107" t="str">
        <f>IF([5]回答表!AD49="●",[5]回答表!B498,"")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IF([5]回答表!R50="●",[5]回答表!B511,"")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39303-808C-4A11-A30C-D4EAB5565C65}">
  <sheetPr>
    <pageSetUpPr fitToPage="1"/>
  </sheetPr>
  <dimension ref="A1:CN315"/>
  <sheetViews>
    <sheetView showZeros="0" view="pageBreakPreview" zoomScale="60" zoomScaleNormal="55" workbookViewId="0">
      <selection activeCell="AF24" sqref="AF24:AL26"/>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IF(COUNTIF([2]回答表!K15,"*")&gt;0,[2]回答表!K15,"")</f>
        <v>横手市</v>
      </c>
      <c r="D11" s="299"/>
      <c r="E11" s="299"/>
      <c r="F11" s="299"/>
      <c r="G11" s="299"/>
      <c r="H11" s="299"/>
      <c r="I11" s="299"/>
      <c r="J11" s="299"/>
      <c r="K11" s="299"/>
      <c r="L11" s="299"/>
      <c r="M11" s="299"/>
      <c r="N11" s="299"/>
      <c r="O11" s="299"/>
      <c r="P11" s="299"/>
      <c r="Q11" s="299"/>
      <c r="R11" s="299"/>
      <c r="S11" s="299"/>
      <c r="T11" s="299"/>
      <c r="U11" s="306" t="str">
        <f>IF(COUNTIF([2]回答表!F17,"*")&gt;0,[2]回答表!F17,"")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IF(COUNTIF([2]回答表!W17,"*")&gt;0,[2]回答表!W17,"")</f>
        <v>小規模集合排水施設</v>
      </c>
      <c r="AP11" s="301"/>
      <c r="AQ11" s="301"/>
      <c r="AR11" s="301"/>
      <c r="AS11" s="301"/>
      <c r="AT11" s="301"/>
      <c r="AU11" s="301"/>
      <c r="AV11" s="301"/>
      <c r="AW11" s="301"/>
      <c r="AX11" s="301"/>
      <c r="AY11" s="301"/>
      <c r="AZ11" s="301"/>
      <c r="BA11" s="301"/>
      <c r="BB11" s="301"/>
      <c r="BC11" s="301"/>
      <c r="BD11" s="301"/>
      <c r="BE11" s="301"/>
      <c r="BF11" s="302"/>
      <c r="BG11" s="305" t="str">
        <f>IF(COUNTIF([2]回答表!F19,"*")&gt;0,[2]回答表!F19,"")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IF([2]回答表!R43="●","●","")</f>
        <v/>
      </c>
      <c r="E24" s="123"/>
      <c r="F24" s="123"/>
      <c r="G24" s="123"/>
      <c r="H24" s="123"/>
      <c r="I24" s="123"/>
      <c r="J24" s="124"/>
      <c r="K24" s="122" t="str">
        <f>IF([2]回答表!R44="●","●","")</f>
        <v/>
      </c>
      <c r="L24" s="123"/>
      <c r="M24" s="123"/>
      <c r="N24" s="123"/>
      <c r="O24" s="123"/>
      <c r="P24" s="123"/>
      <c r="Q24" s="124"/>
      <c r="R24" s="122" t="str">
        <f>IF([2]回答表!R45="●","●","")</f>
        <v/>
      </c>
      <c r="S24" s="123"/>
      <c r="T24" s="123"/>
      <c r="U24" s="123"/>
      <c r="V24" s="123"/>
      <c r="W24" s="123"/>
      <c r="X24" s="124"/>
      <c r="Y24" s="122" t="str">
        <f>IF([2]回答表!R46="●","●","")</f>
        <v/>
      </c>
      <c r="Z24" s="123"/>
      <c r="AA24" s="123"/>
      <c r="AB24" s="123"/>
      <c r="AC24" s="123"/>
      <c r="AD24" s="123"/>
      <c r="AE24" s="124"/>
      <c r="AF24" s="122" t="str">
        <f>IF([2]回答表!R47="●","●","")</f>
        <v>●</v>
      </c>
      <c r="AG24" s="123"/>
      <c r="AH24" s="123"/>
      <c r="AI24" s="123"/>
      <c r="AJ24" s="123"/>
      <c r="AK24" s="123"/>
      <c r="AL24" s="124"/>
      <c r="AM24" s="122" t="str">
        <f>IF([2]回答表!R48="●","●","")</f>
        <v/>
      </c>
      <c r="AN24" s="123"/>
      <c r="AO24" s="123"/>
      <c r="AP24" s="123"/>
      <c r="AQ24" s="123"/>
      <c r="AR24" s="123"/>
      <c r="AS24" s="124"/>
      <c r="AT24" s="122" t="str">
        <f>IF([2]回答表!R49="●","●","")</f>
        <v/>
      </c>
      <c r="AU24" s="123"/>
      <c r="AV24" s="123"/>
      <c r="AW24" s="123"/>
      <c r="AX24" s="123"/>
      <c r="AY24" s="123"/>
      <c r="AZ24" s="124"/>
      <c r="BA24" s="18"/>
      <c r="BB24" s="119" t="str">
        <f>IF([2]回答表!R50="●","●","")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IF([2]回答表!X43="●","●","")</f>
        <v/>
      </c>
      <c r="O36" s="99"/>
      <c r="P36" s="99"/>
      <c r="Q36" s="100"/>
      <c r="R36" s="38"/>
      <c r="S36" s="38"/>
      <c r="T36" s="38"/>
      <c r="U36" s="107" t="str">
        <f>IF([2]回答表!X43="●",[2]回答表!B59,IF([2]回答表!AA43="●",[2]回答表!B79,""))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IF([2]回答表!X43="●",[2]回答表!S65,IF([2]回答表!AA43="●",[2]回答表!S85,""))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IF([2]回答表!X43="●",[2]回答表!G65,IF([2]回答表!AA43="●",[2]回答表!G85,""))</f>
        <v/>
      </c>
      <c r="AN38" s="120"/>
      <c r="AO38" s="120"/>
      <c r="AP38" s="120"/>
      <c r="AQ38" s="120"/>
      <c r="AR38" s="120"/>
      <c r="AS38" s="120"/>
      <c r="AT38" s="121"/>
      <c r="AU38" s="119" t="str">
        <f>IF([2]回答表!X43="●",[2]回答表!G66,IF([2]回答表!AA43="●",[2]回答表!G86,""))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IF([2]回答表!X43="●",[2]回答表!V65,IF([2]回答表!AA43="●",[2]回答表!V85,""))</f>
        <v/>
      </c>
      <c r="BG39" s="249"/>
      <c r="BH39" s="249"/>
      <c r="BI39" s="250"/>
      <c r="BJ39" s="83" t="str">
        <f>IF([2]回答表!X43="●",[2]回答表!V66,IF([2]回答表!AA43="●",[2]回答表!V86,""))</f>
        <v/>
      </c>
      <c r="BK39" s="249"/>
      <c r="BL39" s="249"/>
      <c r="BM39" s="250"/>
      <c r="BN39" s="83" t="str">
        <f>IF([2]回答表!X43="●",[2]回答表!V67,IF([2]回答表!AA43="●",[2]回答表!V87,""))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IF([2]回答表!X43="●",[2]回答表!O71,IF([2]回答表!AA43="●",[2]回答表!O91,""))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IF([2]回答表!X43="●",[2]回答表!O72,IF([2]回答表!AA43="●",[2]回答表!O92,""))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IF([2]回答表!X43="●",[2]回答表!O73,IF([2]回答表!AA43="●",[2]回答表!O93,""))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IF([2]回答表!X43="●",[2]回答表!O74,IF([2]回答表!AA43="●",[2]回答表!O94,""))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IF([2]回答表!X43="●",[2]回答表!AG71,IF([2]回答表!AA43="●",[2]回答表!AG91,""))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IF([2]回答表!X43="●",[2]回答表!AG72,IF([2]回答表!AA43="●",[2]回答表!AG92,""))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IF([2]回答表!AD43="●","●","")</f>
        <v/>
      </c>
      <c r="O51" s="99"/>
      <c r="P51" s="99"/>
      <c r="Q51" s="100"/>
      <c r="R51" s="38"/>
      <c r="S51" s="38"/>
      <c r="T51" s="38"/>
      <c r="U51" s="107" t="str">
        <f>IF([2]回答表!AD43="●",[2]回答表!B99,"")</f>
        <v/>
      </c>
      <c r="V51" s="108"/>
      <c r="W51" s="108"/>
      <c r="X51" s="108"/>
      <c r="Y51" s="108"/>
      <c r="Z51" s="108"/>
      <c r="AA51" s="108"/>
      <c r="AB51" s="108"/>
      <c r="AC51" s="108"/>
      <c r="AD51" s="108"/>
      <c r="AE51" s="108"/>
      <c r="AF51" s="108"/>
      <c r="AG51" s="108"/>
      <c r="AH51" s="108"/>
      <c r="AI51" s="108"/>
      <c r="AJ51" s="109"/>
      <c r="AK51" s="55"/>
      <c r="AL51" s="55"/>
      <c r="AM51" s="107" t="str">
        <f>IF([2]回答表!AD43="●",[2]回答表!B104,"")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IF([2]回答表!X44="●","●","")</f>
        <v/>
      </c>
      <c r="O62" s="99"/>
      <c r="P62" s="99"/>
      <c r="Q62" s="100"/>
      <c r="R62" s="38"/>
      <c r="S62" s="38"/>
      <c r="T62" s="38"/>
      <c r="U62" s="107" t="str">
        <f>IF([2]回答表!X44="●",[2]回答表!B115,IF([2]回答表!AA44="●",[2]回答表!B127,""))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IF([2]回答表!X44="●",[2]回答表!S121,IF([2]回答表!AA44="●",[2]回答表!S133,""))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IF([2]回答表!X44="●",[2]回答表!J121,IF([2]回答表!AA44="●",[2]回答表!J133,""))</f>
        <v/>
      </c>
      <c r="AN65" s="120"/>
      <c r="AO65" s="120"/>
      <c r="AP65" s="120"/>
      <c r="AQ65" s="120"/>
      <c r="AR65" s="120"/>
      <c r="AS65" s="120"/>
      <c r="AT65" s="121"/>
      <c r="AU65" s="119" t="str">
        <f>IF([2]回答表!X44="●",[2]回答表!J122,IF([2]回答表!AA44="●",[2]回答表!J134,""))</f>
        <v/>
      </c>
      <c r="AV65" s="120"/>
      <c r="AW65" s="120"/>
      <c r="AX65" s="120"/>
      <c r="AY65" s="120"/>
      <c r="AZ65" s="120"/>
      <c r="BA65" s="120"/>
      <c r="BB65" s="121"/>
      <c r="BC65" s="39"/>
      <c r="BD65" s="34"/>
      <c r="BE65" s="34"/>
      <c r="BF65" s="83" t="str">
        <f>IF([2]回答表!X44="●",[2]回答表!V121,IF([2]回答表!AA44="●",[2]回答表!V133,""))</f>
        <v/>
      </c>
      <c r="BG65" s="84"/>
      <c r="BH65" s="84"/>
      <c r="BI65" s="84"/>
      <c r="BJ65" s="83" t="str">
        <f>IF([2]回答表!X44="●",[2]回答表!V122,IF([2]回答表!AA44="●",[2]回答表!V134,""))</f>
        <v/>
      </c>
      <c r="BK65" s="84"/>
      <c r="BL65" s="84"/>
      <c r="BM65" s="84"/>
      <c r="BN65" s="83" t="str">
        <f>IF([2]回答表!X44="●",[2]回答表!V123,IF([2]回答表!AA44="●",[2]回答表!V135,""))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IF([2]回答表!AD44="●","●","")</f>
        <v/>
      </c>
      <c r="O74" s="99"/>
      <c r="P74" s="99"/>
      <c r="Q74" s="100"/>
      <c r="R74" s="38"/>
      <c r="S74" s="38"/>
      <c r="T74" s="38"/>
      <c r="U74" s="107" t="str">
        <f>IF([2]回答表!AD44="●",[2]回答表!B140,"")</f>
        <v/>
      </c>
      <c r="V74" s="108"/>
      <c r="W74" s="108"/>
      <c r="X74" s="108"/>
      <c r="Y74" s="108"/>
      <c r="Z74" s="108"/>
      <c r="AA74" s="108"/>
      <c r="AB74" s="108"/>
      <c r="AC74" s="108"/>
      <c r="AD74" s="108"/>
      <c r="AE74" s="108"/>
      <c r="AF74" s="108"/>
      <c r="AG74" s="108"/>
      <c r="AH74" s="108"/>
      <c r="AI74" s="108"/>
      <c r="AJ74" s="109"/>
      <c r="AK74" s="55"/>
      <c r="AL74" s="55"/>
      <c r="AM74" s="107" t="str">
        <f>IF([2]回答表!AD44="●",[2]回答表!B146,"")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IF([2]回答表!F17="水道事業",IF([2]回答表!X45="●","●",""),"")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IF([2]回答表!F17="水道事業",IF([2]回答表!X45="●",[2]回答表!B158,IF([2]回答表!AA45="●",[2]回答表!B223,"")),"")</f>
        <v/>
      </c>
      <c r="AN86" s="212"/>
      <c r="AO86" s="212"/>
      <c r="AP86" s="212"/>
      <c r="AQ86" s="212"/>
      <c r="AR86" s="212"/>
      <c r="AS86" s="212"/>
      <c r="AT86" s="212"/>
      <c r="AU86" s="212"/>
      <c r="AV86" s="212"/>
      <c r="AW86" s="212"/>
      <c r="AX86" s="212"/>
      <c r="AY86" s="212"/>
      <c r="AZ86" s="212"/>
      <c r="BA86" s="212"/>
      <c r="BB86" s="212"/>
      <c r="BC86" s="213"/>
      <c r="BD86" s="34"/>
      <c r="BE86" s="34"/>
      <c r="BF86" s="116" t="str">
        <f>IF([2]回答表!F17="水道事業",IF([2]回答表!X45="●",[2]回答表!B212,IF([2]回答表!AA45="●",[2]回答表!B278,"")),"")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IF([2]回答表!F17="水道事業",IF([2]回答表!X45="●",[2]回答表!J166,IF([2]回答表!AA45="●",[2]回答表!J231,"")),"")</f>
        <v/>
      </c>
      <c r="V88" s="120"/>
      <c r="W88" s="120"/>
      <c r="X88" s="120"/>
      <c r="Y88" s="120"/>
      <c r="Z88" s="120"/>
      <c r="AA88" s="120"/>
      <c r="AB88" s="121"/>
      <c r="AC88" s="119" t="str">
        <f>IF([2]回答表!F17="水道事業",IF([2]回答表!X45="●",[2]回答表!J173,IF([2]回答表!AA45="●",[2]回答表!J238,"")),"")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IF([2]回答表!F17="水道事業",IF([2]回答表!X45="●",[2]回答表!E212,IF([2]回答表!AA45="●",[2]回答表!E278,"")),"")</f>
        <v/>
      </c>
      <c r="BG89" s="84"/>
      <c r="BH89" s="84"/>
      <c r="BI89" s="84"/>
      <c r="BJ89" s="83" t="str">
        <f>IF([2]回答表!F17="水道事業",IF([2]回答表!X45="●",[2]回答表!E213,IF([2]回答表!AA45="●",[2]回答表!E279,"")),"")</f>
        <v/>
      </c>
      <c r="BK89" s="84"/>
      <c r="BL89" s="84"/>
      <c r="BM89" s="84"/>
      <c r="BN89" s="83" t="str">
        <f>IF([2]回答表!F17="水道事業",IF([2]回答表!X45="●",[2]回答表!E214,IF([2]回答表!AA45="●",[2]回答表!E280,"")),"")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IF([2]回答表!F17="水道事業",IF([2]回答表!AA45="●","●",""),"")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IF([2]回答表!F17="水道事業",IF([2]回答表!X45="●",[2]回答表!J176,IF([2]回答表!AA45="●",[2]回答表!J241,"")),"")</f>
        <v/>
      </c>
      <c r="V93" s="120"/>
      <c r="W93" s="120"/>
      <c r="X93" s="120"/>
      <c r="Y93" s="120"/>
      <c r="Z93" s="120"/>
      <c r="AA93" s="120"/>
      <c r="AB93" s="121"/>
      <c r="AC93" s="119" t="str">
        <f>IF([2]回答表!F17="水道事業",IF([2]回答表!X45="●",[2]回答表!J180,IF([2]回答表!AA45="●",[2]回答表!J245,"")),"")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IF([2]回答表!F17="水道事業",IF([2]回答表!AD45="○","○",""),"")</f>
        <v/>
      </c>
      <c r="O98" s="99"/>
      <c r="P98" s="99"/>
      <c r="Q98" s="100"/>
      <c r="R98" s="38"/>
      <c r="S98" s="38"/>
      <c r="T98" s="38"/>
      <c r="U98" s="107" t="str">
        <f>IF([2]回答表!F17="水道事業",IF([2]回答表!AD45="●",[2]回答表!B289,""),"")</f>
        <v/>
      </c>
      <c r="V98" s="108"/>
      <c r="W98" s="108"/>
      <c r="X98" s="108"/>
      <c r="Y98" s="108"/>
      <c r="Z98" s="108"/>
      <c r="AA98" s="108"/>
      <c r="AB98" s="108"/>
      <c r="AC98" s="108"/>
      <c r="AD98" s="108"/>
      <c r="AE98" s="108"/>
      <c r="AF98" s="108"/>
      <c r="AG98" s="108"/>
      <c r="AH98" s="108"/>
      <c r="AI98" s="108"/>
      <c r="AJ98" s="109"/>
      <c r="AK98" s="55"/>
      <c r="AL98" s="55"/>
      <c r="AM98" s="107" t="str">
        <f>IF([2]回答表!F17="水道事業",IF([2]回答表!AD45="●",[2]回答表!B295,""),"")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IF([2]回答表!F17="簡易水道事業",IF([2]回答表!X45="●",[2]回答表!B158,IF([2]回答表!AA45="●",[2]回答表!B223,"")),"")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IF([2]回答表!F17="簡易水道事業",IF([2]回答表!X45="●",[2]回答表!B212,IF([2]回答表!AA45="●",[2]回答表!B278,"")),"")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IF([2]回答表!F17="簡易水道事業",IF([2]回答表!X45="●","●",""),"")</f>
        <v/>
      </c>
      <c r="O112" s="99"/>
      <c r="P112" s="99"/>
      <c r="Q112" s="100"/>
      <c r="R112" s="38"/>
      <c r="S112" s="38"/>
      <c r="T112" s="38"/>
      <c r="U112" s="119" t="str">
        <f>IF([2]回答表!F17="簡易水道事業",IF([2]回答表!X45="●",[2]回答表!Y185,IF([2]回答表!AA45="●",[2]回答表!Y251,"")),"")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IF([2]回答表!F17="簡易水道事業",IF([2]回答表!X45="●",[2]回答表!E212,IF([2]回答表!AA45="●",[2]回答表!E278,"")),"")</f>
        <v/>
      </c>
      <c r="BG113" s="84"/>
      <c r="BH113" s="84"/>
      <c r="BI113" s="84"/>
      <c r="BJ113" s="83" t="str">
        <f>IF([2]回答表!F17="簡易水道事業",IF([2]回答表!X45="●",[2]回答表!E213,IF([2]回答表!AA45="●",[2]回答表!E279,"")),"")</f>
        <v/>
      </c>
      <c r="BK113" s="84"/>
      <c r="BL113" s="84"/>
      <c r="BM113" s="84"/>
      <c r="BN113" s="83" t="str">
        <f>IF([2]回答表!F17="簡易水道事業",IF([2]回答表!X45="●",[2]回答表!E214,IF([2]回答表!AA45="●",[2]回答表!E280,"")),"")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IF([2]回答表!F17="簡易水道事業",IF([2]回答表!X45="●",[2]回答表!Y186,IF([2]回答表!AA45="●",[2]回答表!Y252,"")),"")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IF([2]回答表!F17="簡易水道事業",IF([2]回答表!AA45="●","●",""),"")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IF([2]回答表!F17="簡易水道事業",IF([2]回答表!X45="●",[2]回答表!Y187,IF([2]回答表!AA45="●",[2]回答表!Y253,"")),"")</f>
        <v/>
      </c>
      <c r="V122" s="120"/>
      <c r="W122" s="120"/>
      <c r="X122" s="120"/>
      <c r="Y122" s="120"/>
      <c r="Z122" s="120"/>
      <c r="AA122" s="120"/>
      <c r="AB122" s="120"/>
      <c r="AC122" s="120"/>
      <c r="AD122" s="120"/>
      <c r="AE122" s="120"/>
      <c r="AF122" s="120"/>
      <c r="AG122" s="120"/>
      <c r="AH122" s="120"/>
      <c r="AI122" s="120"/>
      <c r="AJ122" s="121"/>
      <c r="AK122" s="18"/>
      <c r="AL122" s="18"/>
      <c r="AM122" s="228" t="str">
        <f>IF([2]回答表!F17="簡易水道事業",IF([2]回答表!X45="●",[2]回答表!Y189,IF([2]回答表!AA45="●",[2]回答表!Y255,"")),"")</f>
        <v/>
      </c>
      <c r="AN122" s="228"/>
      <c r="AO122" s="228"/>
      <c r="AP122" s="228"/>
      <c r="AQ122" s="228"/>
      <c r="AR122" s="228"/>
      <c r="AS122" s="228" t="str">
        <f>IF([2]回答表!F17="簡易水道事業",IF([2]回答表!X45="●",[2]回答表!Y190,IF([2]回答表!AA45="●",[2]回答表!Y256,"")),"")</f>
        <v/>
      </c>
      <c r="AT122" s="228"/>
      <c r="AU122" s="228"/>
      <c r="AV122" s="228"/>
      <c r="AW122" s="228"/>
      <c r="AX122" s="228"/>
      <c r="AY122" s="228" t="str">
        <f>IF([2]回答表!F17="簡易水道事業",IF([2]回答表!X45="●",[2]回答表!Y191,IF([2]回答表!AA45="●",[2]回答表!Y257,"")),"")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IF([2]回答表!F17="簡易水道事業",IF([2]回答表!AD45="●","●",""),"")</f>
        <v/>
      </c>
      <c r="O127" s="99"/>
      <c r="P127" s="99"/>
      <c r="Q127" s="100"/>
      <c r="R127" s="38"/>
      <c r="S127" s="38"/>
      <c r="T127" s="38"/>
      <c r="U127" s="107" t="str">
        <f>IF([2]回答表!F17="簡易水道事業",IF([2]回答表!AD45="●",[2]回答表!B289,""),"")</f>
        <v/>
      </c>
      <c r="V127" s="108"/>
      <c r="W127" s="108"/>
      <c r="X127" s="108"/>
      <c r="Y127" s="108"/>
      <c r="Z127" s="108"/>
      <c r="AA127" s="108"/>
      <c r="AB127" s="108"/>
      <c r="AC127" s="108"/>
      <c r="AD127" s="108"/>
      <c r="AE127" s="108"/>
      <c r="AF127" s="108"/>
      <c r="AG127" s="108"/>
      <c r="AH127" s="108"/>
      <c r="AI127" s="108"/>
      <c r="AJ127" s="109"/>
      <c r="AK127" s="55"/>
      <c r="AL127" s="55"/>
      <c r="AM127" s="107" t="str">
        <f>IF([2]回答表!F17="簡易水道事業",IF([2]回答表!AD45="●",[2]回答表!B295,""),"")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IF([2]回答表!F17="下水道事業",IF([2]回答表!X45="●","●",""),"")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IF([2]回答表!F17="下水道事業",IF([2]回答表!X45="●",[2]回答表!B158,IF([2]回答表!AA45="●",[2]回答表!B223,"")),"")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IF([2]回答表!F17="下水道事業",IF([2]回答表!X45="●",[2]回答表!B212,IF([2]回答表!AA45="●",[2]回答表!B278,"")),"")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IF([2]回答表!F17="下水道事業",IF([2]回答表!X45="●",[2]回答表!Y193,IF([2]回答表!AA45="●",[2]回答表!Y259,"")),"")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IF([2]回答表!F17="下水道事業",IF([2]回答表!X45="●",[2]回答表!E212,IF([2]回答表!AA45="●",[2]回答表!E278,"")),"")</f>
        <v/>
      </c>
      <c r="BG142" s="84"/>
      <c r="BH142" s="84"/>
      <c r="BI142" s="84"/>
      <c r="BJ142" s="83" t="str">
        <f>IF([2]回答表!F17="下水道事業",IF([2]回答表!X45="●",[2]回答表!E213,IF([2]回答表!AA45="●",[2]回答表!E279,"")),"")</f>
        <v/>
      </c>
      <c r="BK142" s="84"/>
      <c r="BL142" s="84"/>
      <c r="BM142" s="84"/>
      <c r="BN142" s="83" t="str">
        <f>IF([2]回答表!F17="下水道事業",IF([2]回答表!X45="●",[2]回答表!E214,IF([2]回答表!AA45="●",[2]回答表!E280,"")),"")</f>
        <v/>
      </c>
      <c r="BO142" s="84"/>
      <c r="BP142" s="84"/>
      <c r="BQ142" s="87"/>
      <c r="BR142" s="37"/>
      <c r="BX142" s="211" t="str">
        <f>IF([2]回答表!AQ20="下水道事業",IF([2]回答表!BI48="○",[2]回答表!AM161,IF([2]回答表!BL48="○",[2]回答表!AM226,"")),"")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IF([2]回答表!F17="下水道事業",IF([2]回答表!X45="●",[2]回答表!Y195,IF([2]回答表!AA45="●",[2]回答表!Y261,"")),"")</f>
        <v/>
      </c>
      <c r="V147" s="120"/>
      <c r="W147" s="120"/>
      <c r="X147" s="120"/>
      <c r="Y147" s="120"/>
      <c r="Z147" s="120"/>
      <c r="AA147" s="120"/>
      <c r="AB147" s="121"/>
      <c r="AC147" s="119" t="str">
        <f>IF([2]回答表!F17="下水道事業",IF([2]回答表!X45="●",[2]回答表!Y196,IF([2]回答表!AA45="●",[2]回答表!Y262,"")),"")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IF([2]回答表!F17="下水道事業",IF([2]回答表!X45="●",[2]回答表!Y198,IF([2]回答表!AA45="●",[2]回答表!Y264,"")),"")</f>
        <v/>
      </c>
      <c r="V153" s="120"/>
      <c r="W153" s="120"/>
      <c r="X153" s="120"/>
      <c r="Y153" s="120"/>
      <c r="Z153" s="120"/>
      <c r="AA153" s="120"/>
      <c r="AB153" s="121"/>
      <c r="AC153" s="119" t="str">
        <f>IF([2]回答表!F17="下水道事業",IF([2]回答表!X45="●",[2]回答表!Y199,IF([2]回答表!AA45="●",[2]回答表!Y265,"")),"")</f>
        <v/>
      </c>
      <c r="AD153" s="120"/>
      <c r="AE153" s="120"/>
      <c r="AF153" s="120"/>
      <c r="AG153" s="120"/>
      <c r="AH153" s="120"/>
      <c r="AI153" s="120"/>
      <c r="AJ153" s="121"/>
      <c r="AK153" s="119" t="str">
        <f>IF([2]回答表!F17="下水道事業",IF([2]回答表!X45="●",[2]回答表!Y200,IF([2]回答表!AA45="●",[2]回答表!Y266,"")),"")</f>
        <v/>
      </c>
      <c r="AL153" s="120"/>
      <c r="AM153" s="120"/>
      <c r="AN153" s="120"/>
      <c r="AO153" s="120"/>
      <c r="AP153" s="120"/>
      <c r="AQ153" s="120"/>
      <c r="AR153" s="121"/>
      <c r="AS153" s="119" t="str">
        <f>IF([2]回答表!F17="下水道事業",IF([2]回答表!X45="●",[2]回答表!Y201,IF([2]回答表!AA45="●",[2]回答表!Y267,"")),"")</f>
        <v/>
      </c>
      <c r="AT153" s="120"/>
      <c r="AU153" s="120"/>
      <c r="AV153" s="120"/>
      <c r="AW153" s="120"/>
      <c r="AX153" s="120"/>
      <c r="AY153" s="120"/>
      <c r="AZ153" s="121"/>
      <c r="BA153" s="119" t="str">
        <f>IF([2]回答表!F17="下水道事業",IF([2]回答表!X45="●",[2]回答表!Y202,IF([2]回答表!AA45="●",[2]回答表!Y268,"")),"")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IF([2]回答表!F17="下水道事業",IF([2]回答表!AA45="●","●",""),"")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IF([2]回答表!F17="下水道事業",IF([2]回答表!X45="●",[2]回答表!Y207,IF([2]回答表!AA45="●",[2]回答表!Y273,"")),"")</f>
        <v/>
      </c>
      <c r="V159" s="120"/>
      <c r="W159" s="120"/>
      <c r="X159" s="120"/>
      <c r="Y159" s="120"/>
      <c r="Z159" s="120"/>
      <c r="AA159" s="120"/>
      <c r="AB159" s="121"/>
      <c r="AC159" s="119" t="str">
        <f>IF([2]回答表!F17="下水道事業",IF([2]回答表!X45="●",[2]回答表!Y208,IF([2]回答表!AA45="●",[2]回答表!Y274,"")),"")</f>
        <v/>
      </c>
      <c r="AD159" s="120"/>
      <c r="AE159" s="120"/>
      <c r="AF159" s="120"/>
      <c r="AG159" s="120"/>
      <c r="AH159" s="120"/>
      <c r="AI159" s="120"/>
      <c r="AJ159" s="121"/>
      <c r="AK159" s="119" t="str">
        <f>IF([2]回答表!F17="下水道事業",IF([2]回答表!X45="●",[2]回答表!Y209,IF([2]回答表!AA45="●",[2]回答表!Y275,"")),"")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IF([2]回答表!F17="下水道事業",IF([2]回答表!AD45="●","●",""),"")</f>
        <v/>
      </c>
      <c r="O164" s="99"/>
      <c r="P164" s="99"/>
      <c r="Q164" s="100"/>
      <c r="R164" s="38"/>
      <c r="S164" s="38"/>
      <c r="T164" s="38"/>
      <c r="U164" s="107" t="str">
        <f>IF([2]回答表!F17="下水道事業",IF([2]回答表!AD45="●",[2]回答表!B289,""),"")</f>
        <v/>
      </c>
      <c r="V164" s="108"/>
      <c r="W164" s="108"/>
      <c r="X164" s="108"/>
      <c r="Y164" s="108"/>
      <c r="Z164" s="108"/>
      <c r="AA164" s="108"/>
      <c r="AB164" s="108"/>
      <c r="AC164" s="108"/>
      <c r="AD164" s="108"/>
      <c r="AE164" s="108"/>
      <c r="AF164" s="108"/>
      <c r="AG164" s="108"/>
      <c r="AH164" s="108"/>
      <c r="AI164" s="108"/>
      <c r="AJ164" s="109"/>
      <c r="AK164" s="55"/>
      <c r="AL164" s="55"/>
      <c r="AM164" s="107" t="str">
        <f>IF([2]回答表!F17="下水道事業",IF([2]回答表!AD45="●",[2]回答表!B295,""),"")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IF([2]回答表!BD17="●",IF([2]回答表!X45="●","●",""),"")</f>
        <v/>
      </c>
      <c r="O176" s="99"/>
      <c r="P176" s="99"/>
      <c r="Q176" s="100"/>
      <c r="R176" s="38"/>
      <c r="S176" s="38"/>
      <c r="T176" s="38"/>
      <c r="U176" s="107" t="str">
        <f>IF([2]回答表!BD17="●",IF([2]回答表!X45="●",[2]回答表!B158,IF([2]回答表!AA45="●",[2]回答表!B223,"")),"")</f>
        <v/>
      </c>
      <c r="V176" s="108"/>
      <c r="W176" s="108"/>
      <c r="X176" s="108"/>
      <c r="Y176" s="108"/>
      <c r="Z176" s="108"/>
      <c r="AA176" s="108"/>
      <c r="AB176" s="108"/>
      <c r="AC176" s="108"/>
      <c r="AD176" s="108"/>
      <c r="AE176" s="108"/>
      <c r="AF176" s="108"/>
      <c r="AG176" s="108"/>
      <c r="AH176" s="108"/>
      <c r="AI176" s="108"/>
      <c r="AJ176" s="109"/>
      <c r="AK176" s="49"/>
      <c r="AL176" s="49"/>
      <c r="AM176" s="116" t="str">
        <f>IF([2]回答表!BD17="●",IF([2]回答表!X45="●",[2]回答表!B212,IF([2]回答表!AA45="●",[2]回答表!B278,"")),"")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IF([2]回答表!BD17="●",IF([2]回答表!X45="●",[2]回答表!E212,IF([2]回答表!AA45="●",[2]回答表!E278,"")),"")</f>
        <v/>
      </c>
      <c r="AN179" s="84"/>
      <c r="AO179" s="84"/>
      <c r="AP179" s="84"/>
      <c r="AQ179" s="83" t="str">
        <f>IF([2]回答表!BD17="●",IF([2]回答表!X45="●",[2]回答表!E213,IF([2]回答表!AA45="●",[2]回答表!E279,"")),"")</f>
        <v/>
      </c>
      <c r="AR179" s="84"/>
      <c r="AS179" s="84"/>
      <c r="AT179" s="84"/>
      <c r="AU179" s="83" t="str">
        <f>IF([2]回答表!BD17="●",IF([2]回答表!X45="●",[2]回答表!E214,IF([2]回答表!AA45="●",[2]回答表!E280,"")),"")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IF([2]回答表!BD17="●",IF([2]回答表!AA45="●","●",""),"")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IF([2]回答表!BD17="●",IF([2]回答表!AD45="●","●",""),"")</f>
        <v/>
      </c>
      <c r="O188" s="99"/>
      <c r="P188" s="99"/>
      <c r="Q188" s="100"/>
      <c r="R188" s="38"/>
      <c r="S188" s="38"/>
      <c r="T188" s="38"/>
      <c r="U188" s="107" t="str">
        <f>IF([2]回答表!BD17="●",IF([2]回答表!AD45="●",[2]回答表!B289,""),"")</f>
        <v/>
      </c>
      <c r="V188" s="108"/>
      <c r="W188" s="108"/>
      <c r="X188" s="108"/>
      <c r="Y188" s="108"/>
      <c r="Z188" s="108"/>
      <c r="AA188" s="108"/>
      <c r="AB188" s="108"/>
      <c r="AC188" s="108"/>
      <c r="AD188" s="108"/>
      <c r="AE188" s="108"/>
      <c r="AF188" s="108"/>
      <c r="AG188" s="108"/>
      <c r="AH188" s="108"/>
      <c r="AI188" s="108"/>
      <c r="AJ188" s="109"/>
      <c r="AK188" s="55"/>
      <c r="AL188" s="55"/>
      <c r="AM188" s="107" t="str">
        <f>IF([2]回答表!BD17="●",IF([2]回答表!AD45="●",[2]回答表!B295,""),"")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IF([2]回答表!X46="●","●","")</f>
        <v/>
      </c>
      <c r="O200" s="99"/>
      <c r="P200" s="99"/>
      <c r="Q200" s="100"/>
      <c r="R200" s="38"/>
      <c r="S200" s="38"/>
      <c r="T200" s="38"/>
      <c r="U200" s="107" t="str">
        <f>IF([2]回答表!X46="●",[2]回答表!B307,IF([2]回答表!AA46="●",[2]回答表!B324,""))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IF([2]回答表!X46="●",[2]回答表!U313,IF([2]回答表!AA46="●",[2]回答表!U330,""))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IF([2]回答表!X46="●",[2]回答表!G313,IF([2]回答表!AA46="●",[2]回答表!G330,""))</f>
        <v/>
      </c>
      <c r="AN203" s="120"/>
      <c r="AO203" s="120"/>
      <c r="AP203" s="120"/>
      <c r="AQ203" s="120"/>
      <c r="AR203" s="120"/>
      <c r="AS203" s="120"/>
      <c r="AT203" s="121"/>
      <c r="AU203" s="119" t="str">
        <f>IF([2]回答表!X46="●",[2]回答表!G314,IF([2]回答表!AA46="●",[2]回答表!G331,""))</f>
        <v/>
      </c>
      <c r="AV203" s="120"/>
      <c r="AW203" s="120"/>
      <c r="AX203" s="120"/>
      <c r="AY203" s="120"/>
      <c r="AZ203" s="120"/>
      <c r="BA203" s="120"/>
      <c r="BB203" s="121"/>
      <c r="BC203" s="39"/>
      <c r="BD203" s="34"/>
      <c r="BE203" s="34"/>
      <c r="BF203" s="83" t="str">
        <f>IF([2]回答表!X46="●",[2]回答表!X313,IF([2]回答表!AA46="●",[2]回答表!X330,""))</f>
        <v/>
      </c>
      <c r="BG203" s="84"/>
      <c r="BH203" s="84"/>
      <c r="BI203" s="84"/>
      <c r="BJ203" s="83" t="str">
        <f>IF([2]回答表!X46="●",[2]回答表!X314,IF([2]回答表!AA46="●",[2]回答表!X331,""))</f>
        <v/>
      </c>
      <c r="BK203" s="84"/>
      <c r="BL203" s="84"/>
      <c r="BM203" s="87"/>
      <c r="BN203" s="83" t="str">
        <f>IF([2]回答表!X46="●",[2]回答表!X315,IF([2]回答表!AA46="●",[2]回答表!X332,""))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IF([2]回答表!AD46="●","●","")</f>
        <v/>
      </c>
      <c r="O212" s="99"/>
      <c r="P212" s="99"/>
      <c r="Q212" s="100"/>
      <c r="R212" s="38"/>
      <c r="S212" s="38"/>
      <c r="T212" s="38"/>
      <c r="U212" s="107" t="str">
        <f>IF([2]回答表!AD46="●",[2]回答表!B337,"")</f>
        <v/>
      </c>
      <c r="V212" s="108"/>
      <c r="W212" s="108"/>
      <c r="X212" s="108"/>
      <c r="Y212" s="108"/>
      <c r="Z212" s="108"/>
      <c r="AA212" s="108"/>
      <c r="AB212" s="108"/>
      <c r="AC212" s="108"/>
      <c r="AD212" s="108"/>
      <c r="AE212" s="108"/>
      <c r="AF212" s="108"/>
      <c r="AG212" s="108"/>
      <c r="AH212" s="108"/>
      <c r="AI212" s="108"/>
      <c r="AJ212" s="109"/>
      <c r="AK212" s="62"/>
      <c r="AL212" s="62"/>
      <c r="AM212" s="107" t="str">
        <f>IF([2]回答表!AD46="●",[2]回答表!B343,"")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IF([2]回答表!X47="●","●","")</f>
        <v>●</v>
      </c>
      <c r="O224" s="99"/>
      <c r="P224" s="99"/>
      <c r="Q224" s="100"/>
      <c r="R224" s="38"/>
      <c r="S224" s="38"/>
      <c r="T224" s="38"/>
      <c r="U224" s="107" t="str">
        <f>IF([2]回答表!X47="●",[2]回答表!B356,IF([2]回答表!AA47="●",[2]回答表!B379,""))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IF([2]回答表!X47="●",[2]回答表!B362,"")</f>
        <v>窓口業務、検針調定業務、収納業務、還付業務、滞納整理業務、電算処理業務（料金システムを含む）、メーター交換業務、その他付帯業務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IF([2]回答表!X47="●",[2]回答表!B368,IF([2]回答表!AA47="●",[2]回答表!B385,""))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IF([2]回答表!X47="●",[2]回答表!E368,IF([2]回答表!AA47="●",[2]回答表!E385,""))</f>
        <v>22</v>
      </c>
      <c r="BG227" s="84"/>
      <c r="BH227" s="84"/>
      <c r="BI227" s="84"/>
      <c r="BJ227" s="83">
        <f>IF([2]回答表!X47="●",[2]回答表!E369,IF([2]回答表!AA47="●",[2]回答表!E386,""))</f>
        <v>11</v>
      </c>
      <c r="BK227" s="84"/>
      <c r="BL227" s="84"/>
      <c r="BM227" s="87"/>
      <c r="BN227" s="83">
        <f>IF([2]回答表!X47="●",[2]回答表!E370,IF([2]回答表!AA47="●",[2]回答表!E387,""))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IF([2]回答表!AD47="●","●","")</f>
        <v/>
      </c>
      <c r="O236" s="99"/>
      <c r="P236" s="99"/>
      <c r="Q236" s="100"/>
      <c r="R236" s="38"/>
      <c r="S236" s="38"/>
      <c r="T236" s="38"/>
      <c r="U236" s="107" t="str">
        <f>IF([2]回答表!AD47="●",[2]回答表!B392,"")</f>
        <v/>
      </c>
      <c r="V236" s="108"/>
      <c r="W236" s="108"/>
      <c r="X236" s="108"/>
      <c r="Y236" s="108"/>
      <c r="Z236" s="108"/>
      <c r="AA236" s="108"/>
      <c r="AB236" s="108"/>
      <c r="AC236" s="108"/>
      <c r="AD236" s="108"/>
      <c r="AE236" s="108"/>
      <c r="AF236" s="108"/>
      <c r="AG236" s="108"/>
      <c r="AH236" s="108"/>
      <c r="AI236" s="108"/>
      <c r="AJ236" s="109"/>
      <c r="AK236" s="62"/>
      <c r="AL236" s="62"/>
      <c r="AM236" s="107" t="str">
        <f>IF([2]回答表!AD47="●",[2]回答表!B398,"")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IF([2]回答表!X48="●","●","")</f>
        <v/>
      </c>
      <c r="O248" s="99"/>
      <c r="P248" s="99"/>
      <c r="Q248" s="100"/>
      <c r="R248" s="38"/>
      <c r="S248" s="38"/>
      <c r="T248" s="38"/>
      <c r="U248" s="107" t="str">
        <f>IF([2]回答表!X48="●",[2]回答表!B411,IF([2]回答表!AA48="●",[2]回答表!B425,""))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IF([2]回答表!X48="●",[2]回答表!BC418,IF([2]回答表!AA48="●",[2]回答表!BC432,""))</f>
        <v/>
      </c>
      <c r="AR248" s="151"/>
      <c r="AS248" s="151"/>
      <c r="AT248" s="151"/>
      <c r="AU248" s="173" t="s">
        <v>73</v>
      </c>
      <c r="AV248" s="174"/>
      <c r="AW248" s="174"/>
      <c r="AX248" s="175"/>
      <c r="AY248" s="151" t="str">
        <f>IF([2]回答表!X48="●",[2]回答表!BC423,IF([2]回答表!AA48="●",[2]回答表!BC437,""))</f>
        <v/>
      </c>
      <c r="AZ248" s="151"/>
      <c r="BA248" s="151"/>
      <c r="BB248" s="151"/>
      <c r="BC248" s="39"/>
      <c r="BD248" s="34"/>
      <c r="BE248" s="34"/>
      <c r="BF248" s="116" t="str">
        <f>IF([2]回答表!X48="●",[2]回答表!S417,IF([2]回答表!AA48="●",[2]回答表!S431,""))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IF([2]回答表!X48="●",[2]回答表!BC419,IF([2]回答表!AA48="●",[2]回答表!BC433,""))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IF([2]回答表!X48="●",[2]回答表!V417,IF([2]回答表!AA48="●",[2]回答表!V431,""))</f>
        <v/>
      </c>
      <c r="BG251" s="84"/>
      <c r="BH251" s="84"/>
      <c r="BI251" s="84"/>
      <c r="BJ251" s="83" t="str">
        <f>IF([2]回答表!X48="●",[2]回答表!V418,IF([2]回答表!AA48="●",[2]回答表!V432,""))</f>
        <v/>
      </c>
      <c r="BK251" s="84"/>
      <c r="BL251" s="84"/>
      <c r="BM251" s="87"/>
      <c r="BN251" s="83" t="str">
        <f>IF([2]回答表!X48="●",[2]回答表!V419,IF([2]回答表!AA48="●",[2]回答表!V433,""))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IF([2]回答表!X48="●",[2]回答表!BC420,IF([2]回答表!AA48="●",[2]回答表!BC434,""))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IF([2]回答表!X48="●",[2]回答表!BC424,IF([2]回答表!AA48="●",[2]回答表!BC438,""))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IF([2]回答表!X48="●",[2]回答表!BC421,IF([2]回答表!AA48="●",[2]回答表!BC435,""))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IF([2]回答表!X48="●",[2]回答表!BC422,IF([2]回答表!AA48="●",[2]回答表!BC436,""))</f>
        <v/>
      </c>
      <c r="AR256" s="151"/>
      <c r="AS256" s="151"/>
      <c r="AT256" s="151"/>
      <c r="AU256" s="152" t="s">
        <v>79</v>
      </c>
      <c r="AV256" s="153"/>
      <c r="AW256" s="153"/>
      <c r="AX256" s="154"/>
      <c r="AY256" s="158" t="str">
        <f>IF([2]回答表!X48="●",[2]回答表!BC425,IF([2]回答表!AA48="●",[2]回答表!BC439,""))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IF([2]回答表!AD48="●","●","")</f>
        <v/>
      </c>
      <c r="O260" s="99"/>
      <c r="P260" s="99"/>
      <c r="Q260" s="100"/>
      <c r="R260" s="38"/>
      <c r="S260" s="38"/>
      <c r="T260" s="38"/>
      <c r="U260" s="107" t="str">
        <f>IF([2]回答表!AD48="●",[2]回答表!B439,"")</f>
        <v/>
      </c>
      <c r="V260" s="108"/>
      <c r="W260" s="108"/>
      <c r="X260" s="108"/>
      <c r="Y260" s="108"/>
      <c r="Z260" s="108"/>
      <c r="AA260" s="108"/>
      <c r="AB260" s="108"/>
      <c r="AC260" s="108"/>
      <c r="AD260" s="108"/>
      <c r="AE260" s="108"/>
      <c r="AF260" s="108"/>
      <c r="AG260" s="108"/>
      <c r="AH260" s="108"/>
      <c r="AI260" s="108"/>
      <c r="AJ260" s="109"/>
      <c r="AK260" s="55"/>
      <c r="AL260" s="55"/>
      <c r="AM260" s="107" t="str">
        <f>IF([2]回答表!AD48="●",[2]回答表!B445,"")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IF([2]回答表!X49="●","●","")</f>
        <v/>
      </c>
      <c r="O271" s="99"/>
      <c r="P271" s="99"/>
      <c r="Q271" s="100"/>
      <c r="R271" s="38"/>
      <c r="S271" s="38"/>
      <c r="T271" s="38"/>
      <c r="U271" s="107" t="str">
        <f>IF([2]回答表!X49="●",[2]回答表!B458,IF([2]回答表!AA49="●",[2]回答表!B475,""))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IF([2]回答表!X49="●",[2]回答表!B468,IF([2]回答表!AA49="●",[2]回答表!B485,""))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IF([2]回答表!X49="●",[2]回答表!G464,IF([2]回答表!AA49="●",[2]回答表!G481,""))</f>
        <v/>
      </c>
      <c r="AN273" s="120"/>
      <c r="AO273" s="120"/>
      <c r="AP273" s="120"/>
      <c r="AQ273" s="120"/>
      <c r="AR273" s="120"/>
      <c r="AS273" s="120"/>
      <c r="AT273" s="121"/>
      <c r="AU273" s="119" t="str">
        <f>IF([2]回答表!X49="●",[2]回答表!G465,IF([2]回答表!AA49="●",[2]回答表!G482,""))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IF([2]回答表!X49="●",[2]回答表!E468,IF([2]回答表!AA49="●",[2]回答表!E485,""))</f>
        <v/>
      </c>
      <c r="BG274" s="84"/>
      <c r="BH274" s="84"/>
      <c r="BI274" s="84"/>
      <c r="BJ274" s="83" t="str">
        <f>IF([2]回答表!X49="●",[2]回答表!E469,IF([2]回答表!AA49="●",[2]回答表!E486,""))</f>
        <v/>
      </c>
      <c r="BK274" s="84"/>
      <c r="BL274" s="84"/>
      <c r="BM274" s="87"/>
      <c r="BN274" s="83" t="str">
        <f>IF([2]回答表!X49="●",[2]回答表!E470,IF([2]回答表!AA49="●",[2]回答表!E487,""))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IF([2]回答表!AD49="●","●","")</f>
        <v/>
      </c>
      <c r="O283" s="99"/>
      <c r="P283" s="99"/>
      <c r="Q283" s="100"/>
      <c r="R283" s="38"/>
      <c r="S283" s="38"/>
      <c r="T283" s="38"/>
      <c r="U283" s="107" t="str">
        <f>IF([2]回答表!AD49="●",[2]回答表!B492,"")</f>
        <v/>
      </c>
      <c r="V283" s="108"/>
      <c r="W283" s="108"/>
      <c r="X283" s="108"/>
      <c r="Y283" s="108"/>
      <c r="Z283" s="108"/>
      <c r="AA283" s="108"/>
      <c r="AB283" s="108"/>
      <c r="AC283" s="108"/>
      <c r="AD283" s="108"/>
      <c r="AE283" s="108"/>
      <c r="AF283" s="108"/>
      <c r="AG283" s="108"/>
      <c r="AH283" s="108"/>
      <c r="AI283" s="108"/>
      <c r="AJ283" s="109"/>
      <c r="AK283" s="49"/>
      <c r="AL283" s="49"/>
      <c r="AM283" s="107" t="str">
        <f>IF([2]回答表!AD49="●",[2]回答表!B498,"")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IF([2]回答表!R50="●",[2]回答表!B511,"")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D3330-C30D-4D69-8200-BF60B2911225}">
  <sheetPr>
    <pageSetUpPr fitToPage="1"/>
  </sheetPr>
  <dimension ref="A1:CN315"/>
  <sheetViews>
    <sheetView showZeros="0" view="pageBreakPreview" zoomScale="60" zoomScaleNormal="55" workbookViewId="0">
      <selection activeCell="R34" sqref="R34"/>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IF(COUNTIF([3]回答表!K15,"*")&gt;0,[3]回答表!K15,"")</f>
        <v>横手市</v>
      </c>
      <c r="D11" s="299"/>
      <c r="E11" s="299"/>
      <c r="F11" s="299"/>
      <c r="G11" s="299"/>
      <c r="H11" s="299"/>
      <c r="I11" s="299"/>
      <c r="J11" s="299"/>
      <c r="K11" s="299"/>
      <c r="L11" s="299"/>
      <c r="M11" s="299"/>
      <c r="N11" s="299"/>
      <c r="O11" s="299"/>
      <c r="P11" s="299"/>
      <c r="Q11" s="299"/>
      <c r="R11" s="299"/>
      <c r="S11" s="299"/>
      <c r="T11" s="299"/>
      <c r="U11" s="306" t="str">
        <f>IF(COUNTIF([3]回答表!F17,"*")&gt;0,[3]回答表!F17,"")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IF(COUNTIF([3]回答表!W17,"*")&gt;0,[3]回答表!W17,"")</f>
        <v>特定地域排水処理施設</v>
      </c>
      <c r="AP11" s="301"/>
      <c r="AQ11" s="301"/>
      <c r="AR11" s="301"/>
      <c r="AS11" s="301"/>
      <c r="AT11" s="301"/>
      <c r="AU11" s="301"/>
      <c r="AV11" s="301"/>
      <c r="AW11" s="301"/>
      <c r="AX11" s="301"/>
      <c r="AY11" s="301"/>
      <c r="AZ11" s="301"/>
      <c r="BA11" s="301"/>
      <c r="BB11" s="301"/>
      <c r="BC11" s="301"/>
      <c r="BD11" s="301"/>
      <c r="BE11" s="301"/>
      <c r="BF11" s="302"/>
      <c r="BG11" s="305" t="str">
        <f>IF(COUNTIF([3]回答表!F19,"*")&gt;0,[3]回答表!F19,"")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IF([3]回答表!R43="●","●","")</f>
        <v/>
      </c>
      <c r="E24" s="123"/>
      <c r="F24" s="123"/>
      <c r="G24" s="123"/>
      <c r="H24" s="123"/>
      <c r="I24" s="123"/>
      <c r="J24" s="124"/>
      <c r="K24" s="122" t="str">
        <f>IF([3]回答表!R44="●","●","")</f>
        <v/>
      </c>
      <c r="L24" s="123"/>
      <c r="M24" s="123"/>
      <c r="N24" s="123"/>
      <c r="O24" s="123"/>
      <c r="P24" s="123"/>
      <c r="Q24" s="124"/>
      <c r="R24" s="122" t="str">
        <f>IF([3]回答表!R45="●","●","")</f>
        <v/>
      </c>
      <c r="S24" s="123"/>
      <c r="T24" s="123"/>
      <c r="U24" s="123"/>
      <c r="V24" s="123"/>
      <c r="W24" s="123"/>
      <c r="X24" s="124"/>
      <c r="Y24" s="122" t="str">
        <f>IF([3]回答表!R46="●","●","")</f>
        <v/>
      </c>
      <c r="Z24" s="123"/>
      <c r="AA24" s="123"/>
      <c r="AB24" s="123"/>
      <c r="AC24" s="123"/>
      <c r="AD24" s="123"/>
      <c r="AE24" s="124"/>
      <c r="AF24" s="122" t="str">
        <f>IF([3]回答表!R47="●","●","")</f>
        <v>●</v>
      </c>
      <c r="AG24" s="123"/>
      <c r="AH24" s="123"/>
      <c r="AI24" s="123"/>
      <c r="AJ24" s="123"/>
      <c r="AK24" s="123"/>
      <c r="AL24" s="124"/>
      <c r="AM24" s="122" t="str">
        <f>IF([3]回答表!R48="●","●","")</f>
        <v/>
      </c>
      <c r="AN24" s="123"/>
      <c r="AO24" s="123"/>
      <c r="AP24" s="123"/>
      <c r="AQ24" s="123"/>
      <c r="AR24" s="123"/>
      <c r="AS24" s="124"/>
      <c r="AT24" s="122" t="str">
        <f>IF([3]回答表!R49="●","●","")</f>
        <v/>
      </c>
      <c r="AU24" s="123"/>
      <c r="AV24" s="123"/>
      <c r="AW24" s="123"/>
      <c r="AX24" s="123"/>
      <c r="AY24" s="123"/>
      <c r="AZ24" s="124"/>
      <c r="BA24" s="18"/>
      <c r="BB24" s="119" t="str">
        <f>IF([3]回答表!R50="●","●","")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IF([3]回答表!X43="●","●","")</f>
        <v/>
      </c>
      <c r="O36" s="99"/>
      <c r="P36" s="99"/>
      <c r="Q36" s="100"/>
      <c r="R36" s="38"/>
      <c r="S36" s="38"/>
      <c r="T36" s="38"/>
      <c r="U36" s="107" t="str">
        <f>IF([3]回答表!X43="●",[3]回答表!B59,IF([3]回答表!AA43="●",[3]回答表!B79,""))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IF([3]回答表!X43="●",[3]回答表!S65,IF([3]回答表!AA43="●",[3]回答表!S85,""))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IF([3]回答表!X43="●",[3]回答表!G65,IF([3]回答表!AA43="●",[3]回答表!G85,""))</f>
        <v/>
      </c>
      <c r="AN38" s="120"/>
      <c r="AO38" s="120"/>
      <c r="AP38" s="120"/>
      <c r="AQ38" s="120"/>
      <c r="AR38" s="120"/>
      <c r="AS38" s="120"/>
      <c r="AT38" s="121"/>
      <c r="AU38" s="119" t="str">
        <f>IF([3]回答表!X43="●",[3]回答表!G66,IF([3]回答表!AA43="●",[3]回答表!G86,""))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IF([3]回答表!X43="●",[3]回答表!V65,IF([3]回答表!AA43="●",[3]回答表!V85,""))</f>
        <v/>
      </c>
      <c r="BG39" s="249"/>
      <c r="BH39" s="249"/>
      <c r="BI39" s="250"/>
      <c r="BJ39" s="83" t="str">
        <f>IF([3]回答表!X43="●",[3]回答表!V66,IF([3]回答表!AA43="●",[3]回答表!V86,""))</f>
        <v/>
      </c>
      <c r="BK39" s="249"/>
      <c r="BL39" s="249"/>
      <c r="BM39" s="250"/>
      <c r="BN39" s="83" t="str">
        <f>IF([3]回答表!X43="●",[3]回答表!V67,IF([3]回答表!AA43="●",[3]回答表!V87,""))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IF([3]回答表!X43="●",[3]回答表!O71,IF([3]回答表!AA43="●",[3]回答表!O91,""))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IF([3]回答表!X43="●",[3]回答表!O72,IF([3]回答表!AA43="●",[3]回答表!O92,""))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IF([3]回答表!X43="●",[3]回答表!O73,IF([3]回答表!AA43="●",[3]回答表!O93,""))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IF([3]回答表!X43="●",[3]回答表!O74,IF([3]回答表!AA43="●",[3]回答表!O94,""))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IF([3]回答表!X43="●",[3]回答表!AG71,IF([3]回答表!AA43="●",[3]回答表!AG91,""))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IF([3]回答表!X43="●",[3]回答表!AG72,IF([3]回答表!AA43="●",[3]回答表!AG92,""))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IF([3]回答表!AD43="●","●","")</f>
        <v/>
      </c>
      <c r="O51" s="99"/>
      <c r="P51" s="99"/>
      <c r="Q51" s="100"/>
      <c r="R51" s="38"/>
      <c r="S51" s="38"/>
      <c r="T51" s="38"/>
      <c r="U51" s="107" t="str">
        <f>IF([3]回答表!AD43="●",[3]回答表!B99,"")</f>
        <v/>
      </c>
      <c r="V51" s="108"/>
      <c r="W51" s="108"/>
      <c r="X51" s="108"/>
      <c r="Y51" s="108"/>
      <c r="Z51" s="108"/>
      <c r="AA51" s="108"/>
      <c r="AB51" s="108"/>
      <c r="AC51" s="108"/>
      <c r="AD51" s="108"/>
      <c r="AE51" s="108"/>
      <c r="AF51" s="108"/>
      <c r="AG51" s="108"/>
      <c r="AH51" s="108"/>
      <c r="AI51" s="108"/>
      <c r="AJ51" s="109"/>
      <c r="AK51" s="55"/>
      <c r="AL51" s="55"/>
      <c r="AM51" s="107" t="str">
        <f>IF([3]回答表!AD43="●",[3]回答表!B104,"")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IF([3]回答表!X44="●","●","")</f>
        <v/>
      </c>
      <c r="O62" s="99"/>
      <c r="P62" s="99"/>
      <c r="Q62" s="100"/>
      <c r="R62" s="38"/>
      <c r="S62" s="38"/>
      <c r="T62" s="38"/>
      <c r="U62" s="107" t="str">
        <f>IF([3]回答表!X44="●",[3]回答表!B115,IF([3]回答表!AA44="●",[3]回答表!B127,""))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IF([3]回答表!X44="●",[3]回答表!S121,IF([3]回答表!AA44="●",[3]回答表!S133,""))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IF([3]回答表!X44="●",[3]回答表!J121,IF([3]回答表!AA44="●",[3]回答表!J133,""))</f>
        <v/>
      </c>
      <c r="AN65" s="120"/>
      <c r="AO65" s="120"/>
      <c r="AP65" s="120"/>
      <c r="AQ65" s="120"/>
      <c r="AR65" s="120"/>
      <c r="AS65" s="120"/>
      <c r="AT65" s="121"/>
      <c r="AU65" s="119" t="str">
        <f>IF([3]回答表!X44="●",[3]回答表!J122,IF([3]回答表!AA44="●",[3]回答表!J134,""))</f>
        <v/>
      </c>
      <c r="AV65" s="120"/>
      <c r="AW65" s="120"/>
      <c r="AX65" s="120"/>
      <c r="AY65" s="120"/>
      <c r="AZ65" s="120"/>
      <c r="BA65" s="120"/>
      <c r="BB65" s="121"/>
      <c r="BC65" s="39"/>
      <c r="BD65" s="34"/>
      <c r="BE65" s="34"/>
      <c r="BF65" s="83" t="str">
        <f>IF([3]回答表!X44="●",[3]回答表!V121,IF([3]回答表!AA44="●",[3]回答表!V133,""))</f>
        <v/>
      </c>
      <c r="BG65" s="84"/>
      <c r="BH65" s="84"/>
      <c r="BI65" s="84"/>
      <c r="BJ65" s="83" t="str">
        <f>IF([3]回答表!X44="●",[3]回答表!V122,IF([3]回答表!AA44="●",[3]回答表!V134,""))</f>
        <v/>
      </c>
      <c r="BK65" s="84"/>
      <c r="BL65" s="84"/>
      <c r="BM65" s="84"/>
      <c r="BN65" s="83" t="str">
        <f>IF([3]回答表!X44="●",[3]回答表!V123,IF([3]回答表!AA44="●",[3]回答表!V135,""))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IF([3]回答表!AD44="●","●","")</f>
        <v/>
      </c>
      <c r="O74" s="99"/>
      <c r="P74" s="99"/>
      <c r="Q74" s="100"/>
      <c r="R74" s="38"/>
      <c r="S74" s="38"/>
      <c r="T74" s="38"/>
      <c r="U74" s="107" t="str">
        <f>IF([3]回答表!AD44="●",[3]回答表!B140,"")</f>
        <v/>
      </c>
      <c r="V74" s="108"/>
      <c r="W74" s="108"/>
      <c r="X74" s="108"/>
      <c r="Y74" s="108"/>
      <c r="Z74" s="108"/>
      <c r="AA74" s="108"/>
      <c r="AB74" s="108"/>
      <c r="AC74" s="108"/>
      <c r="AD74" s="108"/>
      <c r="AE74" s="108"/>
      <c r="AF74" s="108"/>
      <c r="AG74" s="108"/>
      <c r="AH74" s="108"/>
      <c r="AI74" s="108"/>
      <c r="AJ74" s="109"/>
      <c r="AK74" s="55"/>
      <c r="AL74" s="55"/>
      <c r="AM74" s="107" t="str">
        <f>IF([3]回答表!AD44="●",[3]回答表!B146,"")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IF([3]回答表!F17="水道事業",IF([3]回答表!X45="●","●",""),"")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IF([3]回答表!F17="水道事業",IF([3]回答表!X45="●",[3]回答表!B158,IF([3]回答表!AA45="●",[3]回答表!B223,"")),"")</f>
        <v/>
      </c>
      <c r="AN86" s="212"/>
      <c r="AO86" s="212"/>
      <c r="AP86" s="212"/>
      <c r="AQ86" s="212"/>
      <c r="AR86" s="212"/>
      <c r="AS86" s="212"/>
      <c r="AT86" s="212"/>
      <c r="AU86" s="212"/>
      <c r="AV86" s="212"/>
      <c r="AW86" s="212"/>
      <c r="AX86" s="212"/>
      <c r="AY86" s="212"/>
      <c r="AZ86" s="212"/>
      <c r="BA86" s="212"/>
      <c r="BB86" s="212"/>
      <c r="BC86" s="213"/>
      <c r="BD86" s="34"/>
      <c r="BE86" s="34"/>
      <c r="BF86" s="116" t="str">
        <f>IF([3]回答表!F17="水道事業",IF([3]回答表!X45="●",[3]回答表!B212,IF([3]回答表!AA45="●",[3]回答表!B278,"")),"")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IF([3]回答表!F17="水道事業",IF([3]回答表!X45="●",[3]回答表!J166,IF([3]回答表!AA45="●",[3]回答表!J231,"")),"")</f>
        <v/>
      </c>
      <c r="V88" s="120"/>
      <c r="W88" s="120"/>
      <c r="X88" s="120"/>
      <c r="Y88" s="120"/>
      <c r="Z88" s="120"/>
      <c r="AA88" s="120"/>
      <c r="AB88" s="121"/>
      <c r="AC88" s="119" t="str">
        <f>IF([3]回答表!F17="水道事業",IF([3]回答表!X45="●",[3]回答表!J173,IF([3]回答表!AA45="●",[3]回答表!J238,"")),"")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IF([3]回答表!F17="水道事業",IF([3]回答表!X45="●",[3]回答表!E212,IF([3]回答表!AA45="●",[3]回答表!E278,"")),"")</f>
        <v/>
      </c>
      <c r="BG89" s="84"/>
      <c r="BH89" s="84"/>
      <c r="BI89" s="84"/>
      <c r="BJ89" s="83" t="str">
        <f>IF([3]回答表!F17="水道事業",IF([3]回答表!X45="●",[3]回答表!E213,IF([3]回答表!AA45="●",[3]回答表!E279,"")),"")</f>
        <v/>
      </c>
      <c r="BK89" s="84"/>
      <c r="BL89" s="84"/>
      <c r="BM89" s="84"/>
      <c r="BN89" s="83" t="str">
        <f>IF([3]回答表!F17="水道事業",IF([3]回答表!X45="●",[3]回答表!E214,IF([3]回答表!AA45="●",[3]回答表!E280,"")),"")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IF([3]回答表!F17="水道事業",IF([3]回答表!AA45="●","●",""),"")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IF([3]回答表!F17="水道事業",IF([3]回答表!X45="●",[3]回答表!J176,IF([3]回答表!AA45="●",[3]回答表!J241,"")),"")</f>
        <v/>
      </c>
      <c r="V93" s="120"/>
      <c r="W93" s="120"/>
      <c r="X93" s="120"/>
      <c r="Y93" s="120"/>
      <c r="Z93" s="120"/>
      <c r="AA93" s="120"/>
      <c r="AB93" s="121"/>
      <c r="AC93" s="119" t="str">
        <f>IF([3]回答表!F17="水道事業",IF([3]回答表!X45="●",[3]回答表!J180,IF([3]回答表!AA45="●",[3]回答表!J245,"")),"")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IF([3]回答表!F17="水道事業",IF([3]回答表!AD45="○","○",""),"")</f>
        <v/>
      </c>
      <c r="O98" s="99"/>
      <c r="P98" s="99"/>
      <c r="Q98" s="100"/>
      <c r="R98" s="38"/>
      <c r="S98" s="38"/>
      <c r="T98" s="38"/>
      <c r="U98" s="107" t="str">
        <f>IF([3]回答表!F17="水道事業",IF([3]回答表!AD45="●",[3]回答表!B289,""),"")</f>
        <v/>
      </c>
      <c r="V98" s="108"/>
      <c r="W98" s="108"/>
      <c r="X98" s="108"/>
      <c r="Y98" s="108"/>
      <c r="Z98" s="108"/>
      <c r="AA98" s="108"/>
      <c r="AB98" s="108"/>
      <c r="AC98" s="108"/>
      <c r="AD98" s="108"/>
      <c r="AE98" s="108"/>
      <c r="AF98" s="108"/>
      <c r="AG98" s="108"/>
      <c r="AH98" s="108"/>
      <c r="AI98" s="108"/>
      <c r="AJ98" s="109"/>
      <c r="AK98" s="55"/>
      <c r="AL98" s="55"/>
      <c r="AM98" s="107" t="str">
        <f>IF([3]回答表!F17="水道事業",IF([3]回答表!AD45="●",[3]回答表!B295,""),"")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IF([3]回答表!F17="簡易水道事業",IF([3]回答表!X45="●",[3]回答表!B158,IF([3]回答表!AA45="●",[3]回答表!B223,"")),"")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IF([3]回答表!F17="簡易水道事業",IF([3]回答表!X45="●",[3]回答表!B212,IF([3]回答表!AA45="●",[3]回答表!B278,"")),"")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IF([3]回答表!F17="簡易水道事業",IF([3]回答表!X45="●","●",""),"")</f>
        <v/>
      </c>
      <c r="O112" s="99"/>
      <c r="P112" s="99"/>
      <c r="Q112" s="100"/>
      <c r="R112" s="38"/>
      <c r="S112" s="38"/>
      <c r="T112" s="38"/>
      <c r="U112" s="119" t="str">
        <f>IF([3]回答表!F17="簡易水道事業",IF([3]回答表!X45="●",[3]回答表!Y185,IF([3]回答表!AA45="●",[3]回答表!Y251,"")),"")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IF([3]回答表!F17="簡易水道事業",IF([3]回答表!X45="●",[3]回答表!E212,IF([3]回答表!AA45="●",[3]回答表!E278,"")),"")</f>
        <v/>
      </c>
      <c r="BG113" s="84"/>
      <c r="BH113" s="84"/>
      <c r="BI113" s="84"/>
      <c r="BJ113" s="83" t="str">
        <f>IF([3]回答表!F17="簡易水道事業",IF([3]回答表!X45="●",[3]回答表!E213,IF([3]回答表!AA45="●",[3]回答表!E279,"")),"")</f>
        <v/>
      </c>
      <c r="BK113" s="84"/>
      <c r="BL113" s="84"/>
      <c r="BM113" s="84"/>
      <c r="BN113" s="83" t="str">
        <f>IF([3]回答表!F17="簡易水道事業",IF([3]回答表!X45="●",[3]回答表!E214,IF([3]回答表!AA45="●",[3]回答表!E280,"")),"")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IF([3]回答表!F17="簡易水道事業",IF([3]回答表!X45="●",[3]回答表!Y186,IF([3]回答表!AA45="●",[3]回答表!Y252,"")),"")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IF([3]回答表!F17="簡易水道事業",IF([3]回答表!AA45="●","●",""),"")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IF([3]回答表!F17="簡易水道事業",IF([3]回答表!X45="●",[3]回答表!Y187,IF([3]回答表!AA45="●",[3]回答表!Y253,"")),"")</f>
        <v/>
      </c>
      <c r="V122" s="120"/>
      <c r="W122" s="120"/>
      <c r="X122" s="120"/>
      <c r="Y122" s="120"/>
      <c r="Z122" s="120"/>
      <c r="AA122" s="120"/>
      <c r="AB122" s="120"/>
      <c r="AC122" s="120"/>
      <c r="AD122" s="120"/>
      <c r="AE122" s="120"/>
      <c r="AF122" s="120"/>
      <c r="AG122" s="120"/>
      <c r="AH122" s="120"/>
      <c r="AI122" s="120"/>
      <c r="AJ122" s="121"/>
      <c r="AK122" s="18"/>
      <c r="AL122" s="18"/>
      <c r="AM122" s="228" t="str">
        <f>IF([3]回答表!F17="簡易水道事業",IF([3]回答表!X45="●",[3]回答表!Y189,IF([3]回答表!AA45="●",[3]回答表!Y255,"")),"")</f>
        <v/>
      </c>
      <c r="AN122" s="228"/>
      <c r="AO122" s="228"/>
      <c r="AP122" s="228"/>
      <c r="AQ122" s="228"/>
      <c r="AR122" s="228"/>
      <c r="AS122" s="228" t="str">
        <f>IF([3]回答表!F17="簡易水道事業",IF([3]回答表!X45="●",[3]回答表!Y190,IF([3]回答表!AA45="●",[3]回答表!Y256,"")),"")</f>
        <v/>
      </c>
      <c r="AT122" s="228"/>
      <c r="AU122" s="228"/>
      <c r="AV122" s="228"/>
      <c r="AW122" s="228"/>
      <c r="AX122" s="228"/>
      <c r="AY122" s="228" t="str">
        <f>IF([3]回答表!F17="簡易水道事業",IF([3]回答表!X45="●",[3]回答表!Y191,IF([3]回答表!AA45="●",[3]回答表!Y257,"")),"")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IF([3]回答表!F17="簡易水道事業",IF([3]回答表!AD45="●","●",""),"")</f>
        <v/>
      </c>
      <c r="O127" s="99"/>
      <c r="P127" s="99"/>
      <c r="Q127" s="100"/>
      <c r="R127" s="38"/>
      <c r="S127" s="38"/>
      <c r="T127" s="38"/>
      <c r="U127" s="107" t="str">
        <f>IF([3]回答表!F17="簡易水道事業",IF([3]回答表!AD45="●",[3]回答表!B289,""),"")</f>
        <v/>
      </c>
      <c r="V127" s="108"/>
      <c r="W127" s="108"/>
      <c r="X127" s="108"/>
      <c r="Y127" s="108"/>
      <c r="Z127" s="108"/>
      <c r="AA127" s="108"/>
      <c r="AB127" s="108"/>
      <c r="AC127" s="108"/>
      <c r="AD127" s="108"/>
      <c r="AE127" s="108"/>
      <c r="AF127" s="108"/>
      <c r="AG127" s="108"/>
      <c r="AH127" s="108"/>
      <c r="AI127" s="108"/>
      <c r="AJ127" s="109"/>
      <c r="AK127" s="55"/>
      <c r="AL127" s="55"/>
      <c r="AM127" s="107" t="str">
        <f>IF([3]回答表!F17="簡易水道事業",IF([3]回答表!AD45="●",[3]回答表!B295,""),"")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IF([3]回答表!F17="下水道事業",IF([3]回答表!X45="●","●",""),"")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IF([3]回答表!F17="下水道事業",IF([3]回答表!X45="●",[3]回答表!B158,IF([3]回答表!AA45="●",[3]回答表!B223,"")),"")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IF([3]回答表!F17="下水道事業",IF([3]回答表!X45="●",[3]回答表!B212,IF([3]回答表!AA45="●",[3]回答表!B278,"")),"")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IF([3]回答表!F17="下水道事業",IF([3]回答表!X45="●",[3]回答表!Y193,IF([3]回答表!AA45="●",[3]回答表!Y259,"")),"")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IF([3]回答表!F17="下水道事業",IF([3]回答表!X45="●",[3]回答表!E212,IF([3]回答表!AA45="●",[3]回答表!E278,"")),"")</f>
        <v/>
      </c>
      <c r="BG142" s="84"/>
      <c r="BH142" s="84"/>
      <c r="BI142" s="84"/>
      <c r="BJ142" s="83" t="str">
        <f>IF([3]回答表!F17="下水道事業",IF([3]回答表!X45="●",[3]回答表!E213,IF([3]回答表!AA45="●",[3]回答表!E279,"")),"")</f>
        <v/>
      </c>
      <c r="BK142" s="84"/>
      <c r="BL142" s="84"/>
      <c r="BM142" s="84"/>
      <c r="BN142" s="83" t="str">
        <f>IF([3]回答表!F17="下水道事業",IF([3]回答表!X45="●",[3]回答表!E214,IF([3]回答表!AA45="●",[3]回答表!E280,"")),"")</f>
        <v/>
      </c>
      <c r="BO142" s="84"/>
      <c r="BP142" s="84"/>
      <c r="BQ142" s="87"/>
      <c r="BR142" s="37"/>
      <c r="BX142" s="211" t="str">
        <f>IF([3]回答表!AQ20="下水道事業",IF([3]回答表!BI48="○",[3]回答表!AM161,IF([3]回答表!BL48="○",[3]回答表!AM226,"")),"")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IF([3]回答表!F17="下水道事業",IF([3]回答表!X45="●",[3]回答表!Y195,IF([3]回答表!AA45="●",[3]回答表!Y261,"")),"")</f>
        <v/>
      </c>
      <c r="V147" s="120"/>
      <c r="W147" s="120"/>
      <c r="X147" s="120"/>
      <c r="Y147" s="120"/>
      <c r="Z147" s="120"/>
      <c r="AA147" s="120"/>
      <c r="AB147" s="121"/>
      <c r="AC147" s="119" t="str">
        <f>IF([3]回答表!F17="下水道事業",IF([3]回答表!X45="●",[3]回答表!Y196,IF([3]回答表!AA45="●",[3]回答表!Y262,"")),"")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IF([3]回答表!F17="下水道事業",IF([3]回答表!X45="●",[3]回答表!Y198,IF([3]回答表!AA45="●",[3]回答表!Y264,"")),"")</f>
        <v/>
      </c>
      <c r="V153" s="120"/>
      <c r="W153" s="120"/>
      <c r="X153" s="120"/>
      <c r="Y153" s="120"/>
      <c r="Z153" s="120"/>
      <c r="AA153" s="120"/>
      <c r="AB153" s="121"/>
      <c r="AC153" s="119" t="str">
        <f>IF([3]回答表!F17="下水道事業",IF([3]回答表!X45="●",[3]回答表!Y199,IF([3]回答表!AA45="●",[3]回答表!Y265,"")),"")</f>
        <v/>
      </c>
      <c r="AD153" s="120"/>
      <c r="AE153" s="120"/>
      <c r="AF153" s="120"/>
      <c r="AG153" s="120"/>
      <c r="AH153" s="120"/>
      <c r="AI153" s="120"/>
      <c r="AJ153" s="121"/>
      <c r="AK153" s="119" t="str">
        <f>IF([3]回答表!F17="下水道事業",IF([3]回答表!X45="●",[3]回答表!Y200,IF([3]回答表!AA45="●",[3]回答表!Y266,"")),"")</f>
        <v/>
      </c>
      <c r="AL153" s="120"/>
      <c r="AM153" s="120"/>
      <c r="AN153" s="120"/>
      <c r="AO153" s="120"/>
      <c r="AP153" s="120"/>
      <c r="AQ153" s="120"/>
      <c r="AR153" s="121"/>
      <c r="AS153" s="119" t="str">
        <f>IF([3]回答表!F17="下水道事業",IF([3]回答表!X45="●",[3]回答表!Y201,IF([3]回答表!AA45="●",[3]回答表!Y267,"")),"")</f>
        <v/>
      </c>
      <c r="AT153" s="120"/>
      <c r="AU153" s="120"/>
      <c r="AV153" s="120"/>
      <c r="AW153" s="120"/>
      <c r="AX153" s="120"/>
      <c r="AY153" s="120"/>
      <c r="AZ153" s="121"/>
      <c r="BA153" s="119" t="str">
        <f>IF([3]回答表!F17="下水道事業",IF([3]回答表!X45="●",[3]回答表!Y202,IF([3]回答表!AA45="●",[3]回答表!Y268,"")),"")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IF([3]回答表!F17="下水道事業",IF([3]回答表!AA45="●","●",""),"")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IF([3]回答表!F17="下水道事業",IF([3]回答表!X45="●",[3]回答表!Y207,IF([3]回答表!AA45="●",[3]回答表!Y273,"")),"")</f>
        <v/>
      </c>
      <c r="V159" s="120"/>
      <c r="W159" s="120"/>
      <c r="X159" s="120"/>
      <c r="Y159" s="120"/>
      <c r="Z159" s="120"/>
      <c r="AA159" s="120"/>
      <c r="AB159" s="121"/>
      <c r="AC159" s="119" t="str">
        <f>IF([3]回答表!F17="下水道事業",IF([3]回答表!X45="●",[3]回答表!Y208,IF([3]回答表!AA45="●",[3]回答表!Y274,"")),"")</f>
        <v/>
      </c>
      <c r="AD159" s="120"/>
      <c r="AE159" s="120"/>
      <c r="AF159" s="120"/>
      <c r="AG159" s="120"/>
      <c r="AH159" s="120"/>
      <c r="AI159" s="120"/>
      <c r="AJ159" s="121"/>
      <c r="AK159" s="119" t="str">
        <f>IF([3]回答表!F17="下水道事業",IF([3]回答表!X45="●",[3]回答表!Y209,IF([3]回答表!AA45="●",[3]回答表!Y275,"")),"")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IF([3]回答表!F17="下水道事業",IF([3]回答表!AD45="●","●",""),"")</f>
        <v/>
      </c>
      <c r="O164" s="99"/>
      <c r="P164" s="99"/>
      <c r="Q164" s="100"/>
      <c r="R164" s="38"/>
      <c r="S164" s="38"/>
      <c r="T164" s="38"/>
      <c r="U164" s="107" t="str">
        <f>IF([3]回答表!F17="下水道事業",IF([3]回答表!AD45="●",[3]回答表!B289,""),"")</f>
        <v/>
      </c>
      <c r="V164" s="108"/>
      <c r="W164" s="108"/>
      <c r="X164" s="108"/>
      <c r="Y164" s="108"/>
      <c r="Z164" s="108"/>
      <c r="AA164" s="108"/>
      <c r="AB164" s="108"/>
      <c r="AC164" s="108"/>
      <c r="AD164" s="108"/>
      <c r="AE164" s="108"/>
      <c r="AF164" s="108"/>
      <c r="AG164" s="108"/>
      <c r="AH164" s="108"/>
      <c r="AI164" s="108"/>
      <c r="AJ164" s="109"/>
      <c r="AK164" s="55"/>
      <c r="AL164" s="55"/>
      <c r="AM164" s="107" t="str">
        <f>IF([3]回答表!F17="下水道事業",IF([3]回答表!AD45="●",[3]回答表!B295,""),"")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IF([3]回答表!BD17="●",IF([3]回答表!X45="●","●",""),"")</f>
        <v/>
      </c>
      <c r="O176" s="99"/>
      <c r="P176" s="99"/>
      <c r="Q176" s="100"/>
      <c r="R176" s="38"/>
      <c r="S176" s="38"/>
      <c r="T176" s="38"/>
      <c r="U176" s="107" t="str">
        <f>IF([3]回答表!BD17="●",IF([3]回答表!X45="●",[3]回答表!B158,IF([3]回答表!AA45="●",[3]回答表!B223,"")),"")</f>
        <v/>
      </c>
      <c r="V176" s="108"/>
      <c r="W176" s="108"/>
      <c r="X176" s="108"/>
      <c r="Y176" s="108"/>
      <c r="Z176" s="108"/>
      <c r="AA176" s="108"/>
      <c r="AB176" s="108"/>
      <c r="AC176" s="108"/>
      <c r="AD176" s="108"/>
      <c r="AE176" s="108"/>
      <c r="AF176" s="108"/>
      <c r="AG176" s="108"/>
      <c r="AH176" s="108"/>
      <c r="AI176" s="108"/>
      <c r="AJ176" s="109"/>
      <c r="AK176" s="49"/>
      <c r="AL176" s="49"/>
      <c r="AM176" s="116" t="str">
        <f>IF([3]回答表!BD17="●",IF([3]回答表!X45="●",[3]回答表!B212,IF([3]回答表!AA45="●",[3]回答表!B278,"")),"")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IF([3]回答表!BD17="●",IF([3]回答表!X45="●",[3]回答表!E212,IF([3]回答表!AA45="●",[3]回答表!E278,"")),"")</f>
        <v/>
      </c>
      <c r="AN179" s="84"/>
      <c r="AO179" s="84"/>
      <c r="AP179" s="84"/>
      <c r="AQ179" s="83" t="str">
        <f>IF([3]回答表!BD17="●",IF([3]回答表!X45="●",[3]回答表!E213,IF([3]回答表!AA45="●",[3]回答表!E279,"")),"")</f>
        <v/>
      </c>
      <c r="AR179" s="84"/>
      <c r="AS179" s="84"/>
      <c r="AT179" s="84"/>
      <c r="AU179" s="83" t="str">
        <f>IF([3]回答表!BD17="●",IF([3]回答表!X45="●",[3]回答表!E214,IF([3]回答表!AA45="●",[3]回答表!E280,"")),"")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IF([3]回答表!BD17="●",IF([3]回答表!AA45="●","●",""),"")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IF([3]回答表!BD17="●",IF([3]回答表!AD45="●","●",""),"")</f>
        <v/>
      </c>
      <c r="O188" s="99"/>
      <c r="P188" s="99"/>
      <c r="Q188" s="100"/>
      <c r="R188" s="38"/>
      <c r="S188" s="38"/>
      <c r="T188" s="38"/>
      <c r="U188" s="107" t="str">
        <f>IF([3]回答表!BD17="●",IF([3]回答表!AD45="●",[3]回答表!B289,""),"")</f>
        <v/>
      </c>
      <c r="V188" s="108"/>
      <c r="W188" s="108"/>
      <c r="X188" s="108"/>
      <c r="Y188" s="108"/>
      <c r="Z188" s="108"/>
      <c r="AA188" s="108"/>
      <c r="AB188" s="108"/>
      <c r="AC188" s="108"/>
      <c r="AD188" s="108"/>
      <c r="AE188" s="108"/>
      <c r="AF188" s="108"/>
      <c r="AG188" s="108"/>
      <c r="AH188" s="108"/>
      <c r="AI188" s="108"/>
      <c r="AJ188" s="109"/>
      <c r="AK188" s="55"/>
      <c r="AL188" s="55"/>
      <c r="AM188" s="107" t="str">
        <f>IF([3]回答表!BD17="●",IF([3]回答表!AD45="●",[3]回答表!B295,""),"")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IF([3]回答表!X46="●","●","")</f>
        <v/>
      </c>
      <c r="O200" s="99"/>
      <c r="P200" s="99"/>
      <c r="Q200" s="100"/>
      <c r="R200" s="38"/>
      <c r="S200" s="38"/>
      <c r="T200" s="38"/>
      <c r="U200" s="107" t="str">
        <f>IF([3]回答表!X46="●",[3]回答表!B307,IF([3]回答表!AA46="●",[3]回答表!B324,""))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IF([3]回答表!X46="●",[3]回答表!U313,IF([3]回答表!AA46="●",[3]回答表!U330,""))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IF([3]回答表!X46="●",[3]回答表!G313,IF([3]回答表!AA46="●",[3]回答表!G330,""))</f>
        <v/>
      </c>
      <c r="AN203" s="120"/>
      <c r="AO203" s="120"/>
      <c r="AP203" s="120"/>
      <c r="AQ203" s="120"/>
      <c r="AR203" s="120"/>
      <c r="AS203" s="120"/>
      <c r="AT203" s="121"/>
      <c r="AU203" s="119" t="str">
        <f>IF([3]回答表!X46="●",[3]回答表!G314,IF([3]回答表!AA46="●",[3]回答表!G331,""))</f>
        <v/>
      </c>
      <c r="AV203" s="120"/>
      <c r="AW203" s="120"/>
      <c r="AX203" s="120"/>
      <c r="AY203" s="120"/>
      <c r="AZ203" s="120"/>
      <c r="BA203" s="120"/>
      <c r="BB203" s="121"/>
      <c r="BC203" s="39"/>
      <c r="BD203" s="34"/>
      <c r="BE203" s="34"/>
      <c r="BF203" s="83" t="str">
        <f>IF([3]回答表!X46="●",[3]回答表!X313,IF([3]回答表!AA46="●",[3]回答表!X330,""))</f>
        <v/>
      </c>
      <c r="BG203" s="84"/>
      <c r="BH203" s="84"/>
      <c r="BI203" s="84"/>
      <c r="BJ203" s="83" t="str">
        <f>IF([3]回答表!X46="●",[3]回答表!X314,IF([3]回答表!AA46="●",[3]回答表!X331,""))</f>
        <v/>
      </c>
      <c r="BK203" s="84"/>
      <c r="BL203" s="84"/>
      <c r="BM203" s="87"/>
      <c r="BN203" s="83" t="str">
        <f>IF([3]回答表!X46="●",[3]回答表!X315,IF([3]回答表!AA46="●",[3]回答表!X332,""))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IF([3]回答表!AD46="●","●","")</f>
        <v/>
      </c>
      <c r="O212" s="99"/>
      <c r="P212" s="99"/>
      <c r="Q212" s="100"/>
      <c r="R212" s="38"/>
      <c r="S212" s="38"/>
      <c r="T212" s="38"/>
      <c r="U212" s="107" t="str">
        <f>IF([3]回答表!AD46="●",[3]回答表!B337,"")</f>
        <v/>
      </c>
      <c r="V212" s="108"/>
      <c r="W212" s="108"/>
      <c r="X212" s="108"/>
      <c r="Y212" s="108"/>
      <c r="Z212" s="108"/>
      <c r="AA212" s="108"/>
      <c r="AB212" s="108"/>
      <c r="AC212" s="108"/>
      <c r="AD212" s="108"/>
      <c r="AE212" s="108"/>
      <c r="AF212" s="108"/>
      <c r="AG212" s="108"/>
      <c r="AH212" s="108"/>
      <c r="AI212" s="108"/>
      <c r="AJ212" s="109"/>
      <c r="AK212" s="62"/>
      <c r="AL212" s="62"/>
      <c r="AM212" s="107" t="str">
        <f>IF([3]回答表!AD46="●",[3]回答表!B343,"")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IF([3]回答表!X47="●","●","")</f>
        <v>●</v>
      </c>
      <c r="O224" s="99"/>
      <c r="P224" s="99"/>
      <c r="Q224" s="100"/>
      <c r="R224" s="38"/>
      <c r="S224" s="38"/>
      <c r="T224" s="38"/>
      <c r="U224" s="107" t="str">
        <f>IF([3]回答表!X47="●",[3]回答表!B356,IF([3]回答表!AA47="●",[3]回答表!B379,""))</f>
        <v>上下水道料金等関連業務について、事業提案型プロポーザル方式により委託者を選定し、委託契約を締結した。（期間５年）</v>
      </c>
      <c r="V224" s="108"/>
      <c r="W224" s="108"/>
      <c r="X224" s="108"/>
      <c r="Y224" s="108"/>
      <c r="Z224" s="108"/>
      <c r="AA224" s="108"/>
      <c r="AB224" s="108"/>
      <c r="AC224" s="108"/>
      <c r="AD224" s="108"/>
      <c r="AE224" s="108"/>
      <c r="AF224" s="108"/>
      <c r="AG224" s="108"/>
      <c r="AH224" s="108"/>
      <c r="AI224" s="108"/>
      <c r="AJ224" s="109"/>
      <c r="AK224" s="49"/>
      <c r="AL224" s="49"/>
      <c r="AM224" s="49"/>
      <c r="AN224" s="107" t="str">
        <f>IF([3]回答表!X47="●",[3]回答表!B362,"")</f>
        <v>窓口業務、調定業務、収納業務、還付業務、滞納整理業務、電算処理業務（料金システムを含む）、その他付帯業務　</v>
      </c>
      <c r="AO224" s="182"/>
      <c r="AP224" s="182"/>
      <c r="AQ224" s="182"/>
      <c r="AR224" s="182"/>
      <c r="AS224" s="182"/>
      <c r="AT224" s="182"/>
      <c r="AU224" s="182"/>
      <c r="AV224" s="182"/>
      <c r="AW224" s="182"/>
      <c r="AX224" s="182"/>
      <c r="AY224" s="182"/>
      <c r="AZ224" s="182"/>
      <c r="BA224" s="182"/>
      <c r="BB224" s="183"/>
      <c r="BC224" s="39"/>
      <c r="BD224" s="34"/>
      <c r="BE224" s="34"/>
      <c r="BF224" s="116" t="str">
        <f>IF([3]回答表!X47="●",[3]回答表!B368,IF([3]回答表!AA47="●",[3]回答表!B385,""))</f>
        <v>平成</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IF([3]回答表!X47="●",[3]回答表!E368,IF([3]回答表!AA47="●",[3]回答表!E385,""))</f>
        <v>22</v>
      </c>
      <c r="BG227" s="84"/>
      <c r="BH227" s="84"/>
      <c r="BI227" s="84"/>
      <c r="BJ227" s="83">
        <f>IF([3]回答表!X47="●",[3]回答表!E369,IF([3]回答表!AA47="●",[3]回答表!E386,""))</f>
        <v>11</v>
      </c>
      <c r="BK227" s="84"/>
      <c r="BL227" s="84"/>
      <c r="BM227" s="87"/>
      <c r="BN227" s="83">
        <f>IF([3]回答表!X47="●",[3]回答表!E370,IF([3]回答表!AA47="●",[3]回答表!E387,""))</f>
        <v>30</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IF([3]回答表!AD47="●","●","")</f>
        <v/>
      </c>
      <c r="O236" s="99"/>
      <c r="P236" s="99"/>
      <c r="Q236" s="100"/>
      <c r="R236" s="38"/>
      <c r="S236" s="38"/>
      <c r="T236" s="38"/>
      <c r="U236" s="107" t="str">
        <f>IF([3]回答表!AD47="●",[3]回答表!B392,"")</f>
        <v/>
      </c>
      <c r="V236" s="108"/>
      <c r="W236" s="108"/>
      <c r="X236" s="108"/>
      <c r="Y236" s="108"/>
      <c r="Z236" s="108"/>
      <c r="AA236" s="108"/>
      <c r="AB236" s="108"/>
      <c r="AC236" s="108"/>
      <c r="AD236" s="108"/>
      <c r="AE236" s="108"/>
      <c r="AF236" s="108"/>
      <c r="AG236" s="108"/>
      <c r="AH236" s="108"/>
      <c r="AI236" s="108"/>
      <c r="AJ236" s="109"/>
      <c r="AK236" s="62"/>
      <c r="AL236" s="62"/>
      <c r="AM236" s="107" t="str">
        <f>IF([3]回答表!AD47="●",[3]回答表!B398,"")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IF([3]回答表!X48="●","●","")</f>
        <v/>
      </c>
      <c r="O248" s="99"/>
      <c r="P248" s="99"/>
      <c r="Q248" s="100"/>
      <c r="R248" s="38"/>
      <c r="S248" s="38"/>
      <c r="T248" s="38"/>
      <c r="U248" s="107" t="str">
        <f>IF([3]回答表!X48="●",[3]回答表!B411,IF([3]回答表!AA48="●",[3]回答表!B425,""))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IF([3]回答表!X48="●",[3]回答表!BC418,IF([3]回答表!AA48="●",[3]回答表!BC432,""))</f>
        <v/>
      </c>
      <c r="AR248" s="151"/>
      <c r="AS248" s="151"/>
      <c r="AT248" s="151"/>
      <c r="AU248" s="173" t="s">
        <v>73</v>
      </c>
      <c r="AV248" s="174"/>
      <c r="AW248" s="174"/>
      <c r="AX248" s="175"/>
      <c r="AY248" s="151" t="str">
        <f>IF([3]回答表!X48="●",[3]回答表!BC423,IF([3]回答表!AA48="●",[3]回答表!BC437,""))</f>
        <v/>
      </c>
      <c r="AZ248" s="151"/>
      <c r="BA248" s="151"/>
      <c r="BB248" s="151"/>
      <c r="BC248" s="39"/>
      <c r="BD248" s="34"/>
      <c r="BE248" s="34"/>
      <c r="BF248" s="116" t="str">
        <f>IF([3]回答表!X48="●",[3]回答表!S417,IF([3]回答表!AA48="●",[3]回答表!S431,""))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IF([3]回答表!X48="●",[3]回答表!BC419,IF([3]回答表!AA48="●",[3]回答表!BC433,""))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IF([3]回答表!X48="●",[3]回答表!V417,IF([3]回答表!AA48="●",[3]回答表!V431,""))</f>
        <v/>
      </c>
      <c r="BG251" s="84"/>
      <c r="BH251" s="84"/>
      <c r="BI251" s="84"/>
      <c r="BJ251" s="83" t="str">
        <f>IF([3]回答表!X48="●",[3]回答表!V418,IF([3]回答表!AA48="●",[3]回答表!V432,""))</f>
        <v/>
      </c>
      <c r="BK251" s="84"/>
      <c r="BL251" s="84"/>
      <c r="BM251" s="87"/>
      <c r="BN251" s="83" t="str">
        <f>IF([3]回答表!X48="●",[3]回答表!V419,IF([3]回答表!AA48="●",[3]回答表!V433,""))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IF([3]回答表!X48="●",[3]回答表!BC420,IF([3]回答表!AA48="●",[3]回答表!BC434,""))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IF([3]回答表!X48="●",[3]回答表!BC424,IF([3]回答表!AA48="●",[3]回答表!BC438,""))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IF([3]回答表!X48="●",[3]回答表!BC421,IF([3]回答表!AA48="●",[3]回答表!BC435,""))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IF([3]回答表!X48="●",[3]回答表!BC422,IF([3]回答表!AA48="●",[3]回答表!BC436,""))</f>
        <v/>
      </c>
      <c r="AR256" s="151"/>
      <c r="AS256" s="151"/>
      <c r="AT256" s="151"/>
      <c r="AU256" s="152" t="s">
        <v>79</v>
      </c>
      <c r="AV256" s="153"/>
      <c r="AW256" s="153"/>
      <c r="AX256" s="154"/>
      <c r="AY256" s="158" t="str">
        <f>IF([3]回答表!X48="●",[3]回答表!BC425,IF([3]回答表!AA48="●",[3]回答表!BC439,""))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IF([3]回答表!AD48="●","●","")</f>
        <v/>
      </c>
      <c r="O260" s="99"/>
      <c r="P260" s="99"/>
      <c r="Q260" s="100"/>
      <c r="R260" s="38"/>
      <c r="S260" s="38"/>
      <c r="T260" s="38"/>
      <c r="U260" s="107" t="str">
        <f>IF([3]回答表!AD48="●",[3]回答表!B439,"")</f>
        <v/>
      </c>
      <c r="V260" s="108"/>
      <c r="W260" s="108"/>
      <c r="X260" s="108"/>
      <c r="Y260" s="108"/>
      <c r="Z260" s="108"/>
      <c r="AA260" s="108"/>
      <c r="AB260" s="108"/>
      <c r="AC260" s="108"/>
      <c r="AD260" s="108"/>
      <c r="AE260" s="108"/>
      <c r="AF260" s="108"/>
      <c r="AG260" s="108"/>
      <c r="AH260" s="108"/>
      <c r="AI260" s="108"/>
      <c r="AJ260" s="109"/>
      <c r="AK260" s="55"/>
      <c r="AL260" s="55"/>
      <c r="AM260" s="107" t="str">
        <f>IF([3]回答表!AD48="●",[3]回答表!B445,"")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IF([3]回答表!X49="●","●","")</f>
        <v/>
      </c>
      <c r="O271" s="99"/>
      <c r="P271" s="99"/>
      <c r="Q271" s="100"/>
      <c r="R271" s="38"/>
      <c r="S271" s="38"/>
      <c r="T271" s="38"/>
      <c r="U271" s="107" t="str">
        <f>IF([3]回答表!X49="●",[3]回答表!B458,IF([3]回答表!AA49="●",[3]回答表!B475,""))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IF([3]回答表!X49="●",[3]回答表!B468,IF([3]回答表!AA49="●",[3]回答表!B485,""))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IF([3]回答表!X49="●",[3]回答表!G464,IF([3]回答表!AA49="●",[3]回答表!G481,""))</f>
        <v/>
      </c>
      <c r="AN273" s="120"/>
      <c r="AO273" s="120"/>
      <c r="AP273" s="120"/>
      <c r="AQ273" s="120"/>
      <c r="AR273" s="120"/>
      <c r="AS273" s="120"/>
      <c r="AT273" s="121"/>
      <c r="AU273" s="119" t="str">
        <f>IF([3]回答表!X49="●",[3]回答表!G465,IF([3]回答表!AA49="●",[3]回答表!G482,""))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IF([3]回答表!X49="●",[3]回答表!E468,IF([3]回答表!AA49="●",[3]回答表!E485,""))</f>
        <v/>
      </c>
      <c r="BG274" s="84"/>
      <c r="BH274" s="84"/>
      <c r="BI274" s="84"/>
      <c r="BJ274" s="83" t="str">
        <f>IF([3]回答表!X49="●",[3]回答表!E469,IF([3]回答表!AA49="●",[3]回答表!E486,""))</f>
        <v/>
      </c>
      <c r="BK274" s="84"/>
      <c r="BL274" s="84"/>
      <c r="BM274" s="87"/>
      <c r="BN274" s="83" t="str">
        <f>IF([3]回答表!X49="●",[3]回答表!E470,IF([3]回答表!AA49="●",[3]回答表!E487,""))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IF([3]回答表!AD49="●","●","")</f>
        <v/>
      </c>
      <c r="O283" s="99"/>
      <c r="P283" s="99"/>
      <c r="Q283" s="100"/>
      <c r="R283" s="38"/>
      <c r="S283" s="38"/>
      <c r="T283" s="38"/>
      <c r="U283" s="107" t="str">
        <f>IF([3]回答表!AD49="●",[3]回答表!B492,"")</f>
        <v/>
      </c>
      <c r="V283" s="108"/>
      <c r="W283" s="108"/>
      <c r="X283" s="108"/>
      <c r="Y283" s="108"/>
      <c r="Z283" s="108"/>
      <c r="AA283" s="108"/>
      <c r="AB283" s="108"/>
      <c r="AC283" s="108"/>
      <c r="AD283" s="108"/>
      <c r="AE283" s="108"/>
      <c r="AF283" s="108"/>
      <c r="AG283" s="108"/>
      <c r="AH283" s="108"/>
      <c r="AI283" s="108"/>
      <c r="AJ283" s="109"/>
      <c r="AK283" s="49"/>
      <c r="AL283" s="49"/>
      <c r="AM283" s="107" t="str">
        <f>IF([3]回答表!AD49="●",[3]回答表!B498,"")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IF([3]回答表!R50="●",[3]回答表!B511,"")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958AE-AF48-4531-9CA4-C2D2C0CFA01C}">
  <sheetPr>
    <pageSetUpPr fitToPage="1"/>
  </sheetPr>
  <dimension ref="A1:CN315"/>
  <sheetViews>
    <sheetView showZeros="0" view="pageBreakPreview" zoomScale="60" zoomScaleNormal="55" workbookViewId="0">
      <selection activeCell="T35" sqref="T3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IF(COUNTIF([11]回答表!K15,"*")&gt;0,[11]回答表!K15,"")</f>
        <v>横手市</v>
      </c>
      <c r="D11" s="299"/>
      <c r="E11" s="299"/>
      <c r="F11" s="299"/>
      <c r="G11" s="299"/>
      <c r="H11" s="299"/>
      <c r="I11" s="299"/>
      <c r="J11" s="299"/>
      <c r="K11" s="299"/>
      <c r="L11" s="299"/>
      <c r="M11" s="299"/>
      <c r="N11" s="299"/>
      <c r="O11" s="299"/>
      <c r="P11" s="299"/>
      <c r="Q11" s="299"/>
      <c r="R11" s="299"/>
      <c r="S11" s="299"/>
      <c r="T11" s="299"/>
      <c r="U11" s="306" t="str">
        <f>IF(COUNTIF([11]回答表!F17,"*")&gt;0,[11]回答表!F17,"")</f>
        <v>観光施設事業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IF(COUNTIF([11]回答表!W17,"*")&gt;0,[11]回答表!W17,"")</f>
        <v>休養宿泊</v>
      </c>
      <c r="AP11" s="301"/>
      <c r="AQ11" s="301"/>
      <c r="AR11" s="301"/>
      <c r="AS11" s="301"/>
      <c r="AT11" s="301"/>
      <c r="AU11" s="301"/>
      <c r="AV11" s="301"/>
      <c r="AW11" s="301"/>
      <c r="AX11" s="301"/>
      <c r="AY11" s="301"/>
      <c r="AZ11" s="301"/>
      <c r="BA11" s="301"/>
      <c r="BB11" s="301"/>
      <c r="BC11" s="301"/>
      <c r="BD11" s="301"/>
      <c r="BE11" s="301"/>
      <c r="BF11" s="302"/>
      <c r="BG11" s="305" t="str">
        <f>IF(COUNTIF([11]回答表!F19,"*")&gt;0,[11]回答表!F19,"")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IF([11]回答表!R43="●","●","")</f>
        <v/>
      </c>
      <c r="E24" s="123"/>
      <c r="F24" s="123"/>
      <c r="G24" s="123"/>
      <c r="H24" s="123"/>
      <c r="I24" s="123"/>
      <c r="J24" s="124"/>
      <c r="K24" s="122" t="str">
        <f>IF([11]回答表!R44="●","●","")</f>
        <v>●</v>
      </c>
      <c r="L24" s="123"/>
      <c r="M24" s="123"/>
      <c r="N24" s="123"/>
      <c r="O24" s="123"/>
      <c r="P24" s="123"/>
      <c r="Q24" s="124"/>
      <c r="R24" s="122" t="str">
        <f>IF([11]回答表!R45="●","●","")</f>
        <v/>
      </c>
      <c r="S24" s="123"/>
      <c r="T24" s="123"/>
      <c r="U24" s="123"/>
      <c r="V24" s="123"/>
      <c r="W24" s="123"/>
      <c r="X24" s="124"/>
      <c r="Y24" s="122" t="str">
        <f>IF([11]回答表!R46="●","●","")</f>
        <v/>
      </c>
      <c r="Z24" s="123"/>
      <c r="AA24" s="123"/>
      <c r="AB24" s="123"/>
      <c r="AC24" s="123"/>
      <c r="AD24" s="123"/>
      <c r="AE24" s="124"/>
      <c r="AF24" s="122" t="str">
        <f>IF([11]回答表!R47="●","●","")</f>
        <v/>
      </c>
      <c r="AG24" s="123"/>
      <c r="AH24" s="123"/>
      <c r="AI24" s="123"/>
      <c r="AJ24" s="123"/>
      <c r="AK24" s="123"/>
      <c r="AL24" s="124"/>
      <c r="AM24" s="122" t="str">
        <f>IF([11]回答表!R48="●","●","")</f>
        <v/>
      </c>
      <c r="AN24" s="123"/>
      <c r="AO24" s="123"/>
      <c r="AP24" s="123"/>
      <c r="AQ24" s="123"/>
      <c r="AR24" s="123"/>
      <c r="AS24" s="124"/>
      <c r="AT24" s="122" t="str">
        <f>IF([11]回答表!R49="●","●","")</f>
        <v/>
      </c>
      <c r="AU24" s="123"/>
      <c r="AV24" s="123"/>
      <c r="AW24" s="123"/>
      <c r="AX24" s="123"/>
      <c r="AY24" s="123"/>
      <c r="AZ24" s="124"/>
      <c r="BA24" s="18"/>
      <c r="BB24" s="119" t="str">
        <f>IF([11]回答表!R50="●","●","")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IF([11]回答表!X43="●","●","")</f>
        <v/>
      </c>
      <c r="O36" s="99"/>
      <c r="P36" s="99"/>
      <c r="Q36" s="100"/>
      <c r="R36" s="38"/>
      <c r="S36" s="38"/>
      <c r="T36" s="38"/>
      <c r="U36" s="107" t="str">
        <f>IF([11]回答表!X43="●",[11]回答表!B59,IF([11]回答表!AA43="●",[11]回答表!B79,""))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IF([11]回答表!X43="●",[11]回答表!S65,IF([11]回答表!AA43="●",[11]回答表!S85,""))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IF([11]回答表!X43="●",[11]回答表!G65,IF([11]回答表!AA43="●",[11]回答表!G85,""))</f>
        <v/>
      </c>
      <c r="AN38" s="120"/>
      <c r="AO38" s="120"/>
      <c r="AP38" s="120"/>
      <c r="AQ38" s="120"/>
      <c r="AR38" s="120"/>
      <c r="AS38" s="120"/>
      <c r="AT38" s="121"/>
      <c r="AU38" s="119" t="str">
        <f>IF([11]回答表!X43="●",[11]回答表!G66,IF([11]回答表!AA43="●",[11]回答表!G86,""))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IF([11]回答表!X43="●",[11]回答表!V65,IF([11]回答表!AA43="●",[11]回答表!V85,""))</f>
        <v/>
      </c>
      <c r="BG39" s="249"/>
      <c r="BH39" s="249"/>
      <c r="BI39" s="250"/>
      <c r="BJ39" s="83" t="str">
        <f>IF([11]回答表!X43="●",[11]回答表!V66,IF([11]回答表!AA43="●",[11]回答表!V86,""))</f>
        <v/>
      </c>
      <c r="BK39" s="249"/>
      <c r="BL39" s="249"/>
      <c r="BM39" s="250"/>
      <c r="BN39" s="83" t="str">
        <f>IF([11]回答表!X43="●",[11]回答表!V67,IF([11]回答表!AA43="●",[11]回答表!V87,""))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IF([11]回答表!X43="●",[11]回答表!O71,IF([11]回答表!AA43="●",[11]回答表!O91,""))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IF([11]回答表!X43="●",[11]回答表!O72,IF([11]回答表!AA43="●",[11]回答表!O92,""))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IF([11]回答表!X43="●",[11]回答表!O73,IF([11]回答表!AA43="●",[11]回答表!O93,""))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IF([11]回答表!X43="●",[11]回答表!O74,IF([11]回答表!AA43="●",[11]回答表!O94,""))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IF([11]回答表!X43="●",[11]回答表!AG71,IF([11]回答表!AA43="●",[11]回答表!AG91,""))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IF([11]回答表!X43="●",[11]回答表!AG72,IF([11]回答表!AA43="●",[11]回答表!AG92,""))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IF([11]回答表!AD43="●","●","")</f>
        <v/>
      </c>
      <c r="O51" s="99"/>
      <c r="P51" s="99"/>
      <c r="Q51" s="100"/>
      <c r="R51" s="38"/>
      <c r="S51" s="38"/>
      <c r="T51" s="38"/>
      <c r="U51" s="107" t="str">
        <f>IF([11]回答表!AD43="●",[11]回答表!B99,"")</f>
        <v/>
      </c>
      <c r="V51" s="108"/>
      <c r="W51" s="108"/>
      <c r="X51" s="108"/>
      <c r="Y51" s="108"/>
      <c r="Z51" s="108"/>
      <c r="AA51" s="108"/>
      <c r="AB51" s="108"/>
      <c r="AC51" s="108"/>
      <c r="AD51" s="108"/>
      <c r="AE51" s="108"/>
      <c r="AF51" s="108"/>
      <c r="AG51" s="108"/>
      <c r="AH51" s="108"/>
      <c r="AI51" s="108"/>
      <c r="AJ51" s="109"/>
      <c r="AK51" s="55"/>
      <c r="AL51" s="55"/>
      <c r="AM51" s="107" t="str">
        <f>IF([11]回答表!AD43="●",[11]回答表!B104,"")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IF([11]回答表!X44="●","●","")</f>
        <v/>
      </c>
      <c r="O62" s="99"/>
      <c r="P62" s="99"/>
      <c r="Q62" s="100"/>
      <c r="R62" s="38"/>
      <c r="S62" s="38"/>
      <c r="T62" s="38"/>
      <c r="U62" s="107" t="str">
        <f>IF([11]回答表!X44="●",[11]回答表!B115,IF([11]回答表!AA44="●",[11]回答表!B127,""))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IF([11]回答表!X44="●",[11]回答表!S121,IF([11]回答表!AA44="●",[11]回答表!S133,""))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IF([11]回答表!X44="●",[11]回答表!J121,IF([11]回答表!AA44="●",[11]回答表!J133,""))</f>
        <v/>
      </c>
      <c r="AN65" s="120"/>
      <c r="AO65" s="120"/>
      <c r="AP65" s="120"/>
      <c r="AQ65" s="120"/>
      <c r="AR65" s="120"/>
      <c r="AS65" s="120"/>
      <c r="AT65" s="121"/>
      <c r="AU65" s="119" t="str">
        <f>IF([11]回答表!X44="●",[11]回答表!J122,IF([11]回答表!AA44="●",[11]回答表!J134,""))</f>
        <v/>
      </c>
      <c r="AV65" s="120"/>
      <c r="AW65" s="120"/>
      <c r="AX65" s="120"/>
      <c r="AY65" s="120"/>
      <c r="AZ65" s="120"/>
      <c r="BA65" s="120"/>
      <c r="BB65" s="121"/>
      <c r="BC65" s="39"/>
      <c r="BD65" s="34"/>
      <c r="BE65" s="34"/>
      <c r="BF65" s="83" t="str">
        <f>IF([11]回答表!X44="●",[11]回答表!V121,IF([11]回答表!AA44="●",[11]回答表!V133,""))</f>
        <v/>
      </c>
      <c r="BG65" s="84"/>
      <c r="BH65" s="84"/>
      <c r="BI65" s="84"/>
      <c r="BJ65" s="83" t="str">
        <f>IF([11]回答表!X44="●",[11]回答表!V122,IF([11]回答表!AA44="●",[11]回答表!V134,""))</f>
        <v/>
      </c>
      <c r="BK65" s="84"/>
      <c r="BL65" s="84"/>
      <c r="BM65" s="84"/>
      <c r="BN65" s="83" t="str">
        <f>IF([11]回答表!X44="●",[11]回答表!V123,IF([11]回答表!AA44="●",[11]回答表!V135,""))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33" customHeight="1" x14ac:dyDescent="0.4">
      <c r="C74" s="32"/>
      <c r="D74" s="89" t="s">
        <v>33</v>
      </c>
      <c r="E74" s="90"/>
      <c r="F74" s="90"/>
      <c r="G74" s="90"/>
      <c r="H74" s="90"/>
      <c r="I74" s="90"/>
      <c r="J74" s="90"/>
      <c r="K74" s="90"/>
      <c r="L74" s="90"/>
      <c r="M74" s="91"/>
      <c r="N74" s="98" t="str">
        <f>IF([11]回答表!AD44="●","●","")</f>
        <v>●</v>
      </c>
      <c r="O74" s="99"/>
      <c r="P74" s="99"/>
      <c r="Q74" s="100"/>
      <c r="R74" s="38"/>
      <c r="S74" s="38"/>
      <c r="T74" s="38"/>
      <c r="U74" s="107" t="str">
        <f>IF([11]回答表!AD44="●",[11]回答表!B140,"")</f>
        <v>平成29年度に市営温泉6施設の譲渡について公募形式で譲渡先を募り、平成30年度に6施設のうち3施設を民間企業に譲渡。</v>
      </c>
      <c r="V74" s="108"/>
      <c r="W74" s="108"/>
      <c r="X74" s="108"/>
      <c r="Y74" s="108"/>
      <c r="Z74" s="108"/>
      <c r="AA74" s="108"/>
      <c r="AB74" s="108"/>
      <c r="AC74" s="108"/>
      <c r="AD74" s="108"/>
      <c r="AE74" s="108"/>
      <c r="AF74" s="108"/>
      <c r="AG74" s="108"/>
      <c r="AH74" s="108"/>
      <c r="AI74" s="108"/>
      <c r="AJ74" s="109"/>
      <c r="AK74" s="55"/>
      <c r="AL74" s="55"/>
      <c r="AM74" s="107" t="str">
        <f>IF([11]回答表!AD44="●",[11]回答表!B146,"")</f>
        <v>しかしながら、平成30年度に以前三セクが運営していた温泉施設を民間企業に譲渡した３施設が、令和２年度以降に全て市へ返還され、現在の市営温泉施設３施設とあわせた６施設を、コロナ禍と人口減少社会において民間譲渡できるかが課題。</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33"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33"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33"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IF([11]回答表!F17="水道事業",IF([11]回答表!X45="●","●",""),"")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IF([11]回答表!F17="水道事業",IF([11]回答表!X45="●",[11]回答表!B158,IF([11]回答表!AA45="●",[11]回答表!B223,"")),"")</f>
        <v/>
      </c>
      <c r="AN86" s="212"/>
      <c r="AO86" s="212"/>
      <c r="AP86" s="212"/>
      <c r="AQ86" s="212"/>
      <c r="AR86" s="212"/>
      <c r="AS86" s="212"/>
      <c r="AT86" s="212"/>
      <c r="AU86" s="212"/>
      <c r="AV86" s="212"/>
      <c r="AW86" s="212"/>
      <c r="AX86" s="212"/>
      <c r="AY86" s="212"/>
      <c r="AZ86" s="212"/>
      <c r="BA86" s="212"/>
      <c r="BB86" s="212"/>
      <c r="BC86" s="213"/>
      <c r="BD86" s="34"/>
      <c r="BE86" s="34"/>
      <c r="BF86" s="116" t="str">
        <f>IF([11]回答表!F17="水道事業",IF([11]回答表!X45="●",[11]回答表!B212,IF([11]回答表!AA45="●",[11]回答表!B278,"")),"")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IF([11]回答表!F17="水道事業",IF([11]回答表!X45="●",[11]回答表!J166,IF([11]回答表!AA45="●",[11]回答表!J231,"")),"")</f>
        <v/>
      </c>
      <c r="V88" s="120"/>
      <c r="W88" s="120"/>
      <c r="X88" s="120"/>
      <c r="Y88" s="120"/>
      <c r="Z88" s="120"/>
      <c r="AA88" s="120"/>
      <c r="AB88" s="121"/>
      <c r="AC88" s="119" t="str">
        <f>IF([11]回答表!F17="水道事業",IF([11]回答表!X45="●",[11]回答表!J173,IF([11]回答表!AA45="●",[11]回答表!J238,"")),"")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IF([11]回答表!F17="水道事業",IF([11]回答表!X45="●",[11]回答表!E212,IF([11]回答表!AA45="●",[11]回答表!E278,"")),"")</f>
        <v/>
      </c>
      <c r="BG89" s="84"/>
      <c r="BH89" s="84"/>
      <c r="BI89" s="84"/>
      <c r="BJ89" s="83" t="str">
        <f>IF([11]回答表!F17="水道事業",IF([11]回答表!X45="●",[11]回答表!E213,IF([11]回答表!AA45="●",[11]回答表!E279,"")),"")</f>
        <v/>
      </c>
      <c r="BK89" s="84"/>
      <c r="BL89" s="84"/>
      <c r="BM89" s="84"/>
      <c r="BN89" s="83" t="str">
        <f>IF([11]回答表!F17="水道事業",IF([11]回答表!X45="●",[11]回答表!E214,IF([11]回答表!AA45="●",[11]回答表!E280,"")),"")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IF([11]回答表!F17="水道事業",IF([11]回答表!AA45="●","●",""),"")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IF([11]回答表!F17="水道事業",IF([11]回答表!X45="●",[11]回答表!J176,IF([11]回答表!AA45="●",[11]回答表!J241,"")),"")</f>
        <v/>
      </c>
      <c r="V93" s="120"/>
      <c r="W93" s="120"/>
      <c r="X93" s="120"/>
      <c r="Y93" s="120"/>
      <c r="Z93" s="120"/>
      <c r="AA93" s="120"/>
      <c r="AB93" s="121"/>
      <c r="AC93" s="119" t="str">
        <f>IF([11]回答表!F17="水道事業",IF([11]回答表!X45="●",[11]回答表!J180,IF([11]回答表!AA45="●",[11]回答表!J245,"")),"")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IF([11]回答表!F17="水道事業",IF([11]回答表!AD45="○","○",""),"")</f>
        <v/>
      </c>
      <c r="O98" s="99"/>
      <c r="P98" s="99"/>
      <c r="Q98" s="100"/>
      <c r="R98" s="38"/>
      <c r="S98" s="38"/>
      <c r="T98" s="38"/>
      <c r="U98" s="107" t="str">
        <f>IF([11]回答表!F17="水道事業",IF([11]回答表!AD45="●",[11]回答表!B289,""),"")</f>
        <v/>
      </c>
      <c r="V98" s="108"/>
      <c r="W98" s="108"/>
      <c r="X98" s="108"/>
      <c r="Y98" s="108"/>
      <c r="Z98" s="108"/>
      <c r="AA98" s="108"/>
      <c r="AB98" s="108"/>
      <c r="AC98" s="108"/>
      <c r="AD98" s="108"/>
      <c r="AE98" s="108"/>
      <c r="AF98" s="108"/>
      <c r="AG98" s="108"/>
      <c r="AH98" s="108"/>
      <c r="AI98" s="108"/>
      <c r="AJ98" s="109"/>
      <c r="AK98" s="55"/>
      <c r="AL98" s="55"/>
      <c r="AM98" s="107" t="str">
        <f>IF([11]回答表!F17="水道事業",IF([11]回答表!AD45="●",[11]回答表!B295,""),"")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IF([11]回答表!F17="簡易水道事業",IF([11]回答表!X45="●",[11]回答表!B158,IF([11]回答表!AA45="●",[11]回答表!B223,"")),"")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IF([11]回答表!F17="簡易水道事業",IF([11]回答表!X45="●",[11]回答表!B212,IF([11]回答表!AA45="●",[11]回答表!B278,"")),"")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IF([11]回答表!F17="簡易水道事業",IF([11]回答表!X45="●","●",""),"")</f>
        <v/>
      </c>
      <c r="O112" s="99"/>
      <c r="P112" s="99"/>
      <c r="Q112" s="100"/>
      <c r="R112" s="38"/>
      <c r="S112" s="38"/>
      <c r="T112" s="38"/>
      <c r="U112" s="119" t="str">
        <f>IF([11]回答表!F17="簡易水道事業",IF([11]回答表!X45="●",[11]回答表!Y185,IF([11]回答表!AA45="●",[11]回答表!Y251,"")),"")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IF([11]回答表!F17="簡易水道事業",IF([11]回答表!X45="●",[11]回答表!E212,IF([11]回答表!AA45="●",[11]回答表!E278,"")),"")</f>
        <v/>
      </c>
      <c r="BG113" s="84"/>
      <c r="BH113" s="84"/>
      <c r="BI113" s="84"/>
      <c r="BJ113" s="83" t="str">
        <f>IF([11]回答表!F17="簡易水道事業",IF([11]回答表!X45="●",[11]回答表!E213,IF([11]回答表!AA45="●",[11]回答表!E279,"")),"")</f>
        <v/>
      </c>
      <c r="BK113" s="84"/>
      <c r="BL113" s="84"/>
      <c r="BM113" s="84"/>
      <c r="BN113" s="83" t="str">
        <f>IF([11]回答表!F17="簡易水道事業",IF([11]回答表!X45="●",[11]回答表!E214,IF([11]回答表!AA45="●",[11]回答表!E280,"")),"")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IF([11]回答表!F17="簡易水道事業",IF([11]回答表!X45="●",[11]回答表!Y186,IF([11]回答表!AA45="●",[11]回答表!Y252,"")),"")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IF([11]回答表!F17="簡易水道事業",IF([11]回答表!AA45="●","●",""),"")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IF([11]回答表!F17="簡易水道事業",IF([11]回答表!X45="●",[11]回答表!Y187,IF([11]回答表!AA45="●",[11]回答表!Y253,"")),"")</f>
        <v/>
      </c>
      <c r="V122" s="120"/>
      <c r="W122" s="120"/>
      <c r="X122" s="120"/>
      <c r="Y122" s="120"/>
      <c r="Z122" s="120"/>
      <c r="AA122" s="120"/>
      <c r="AB122" s="120"/>
      <c r="AC122" s="120"/>
      <c r="AD122" s="120"/>
      <c r="AE122" s="120"/>
      <c r="AF122" s="120"/>
      <c r="AG122" s="120"/>
      <c r="AH122" s="120"/>
      <c r="AI122" s="120"/>
      <c r="AJ122" s="121"/>
      <c r="AK122" s="18"/>
      <c r="AL122" s="18"/>
      <c r="AM122" s="228" t="str">
        <f>IF([11]回答表!F17="簡易水道事業",IF([11]回答表!X45="●",[11]回答表!Y189,IF([11]回答表!AA45="●",[11]回答表!Y255,"")),"")</f>
        <v/>
      </c>
      <c r="AN122" s="228"/>
      <c r="AO122" s="228"/>
      <c r="AP122" s="228"/>
      <c r="AQ122" s="228"/>
      <c r="AR122" s="228"/>
      <c r="AS122" s="228" t="str">
        <f>IF([11]回答表!F17="簡易水道事業",IF([11]回答表!X45="●",[11]回答表!Y190,IF([11]回答表!AA45="●",[11]回答表!Y256,"")),"")</f>
        <v/>
      </c>
      <c r="AT122" s="228"/>
      <c r="AU122" s="228"/>
      <c r="AV122" s="228"/>
      <c r="AW122" s="228"/>
      <c r="AX122" s="228"/>
      <c r="AY122" s="228" t="str">
        <f>IF([11]回答表!F17="簡易水道事業",IF([11]回答表!X45="●",[11]回答表!Y191,IF([11]回答表!AA45="●",[11]回答表!Y257,"")),"")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IF([11]回答表!F17="簡易水道事業",IF([11]回答表!AD45="●","●",""),"")</f>
        <v/>
      </c>
      <c r="O127" s="99"/>
      <c r="P127" s="99"/>
      <c r="Q127" s="100"/>
      <c r="R127" s="38"/>
      <c r="S127" s="38"/>
      <c r="T127" s="38"/>
      <c r="U127" s="107" t="str">
        <f>IF([11]回答表!F17="簡易水道事業",IF([11]回答表!AD45="●",[11]回答表!B289,""),"")</f>
        <v/>
      </c>
      <c r="V127" s="108"/>
      <c r="W127" s="108"/>
      <c r="X127" s="108"/>
      <c r="Y127" s="108"/>
      <c r="Z127" s="108"/>
      <c r="AA127" s="108"/>
      <c r="AB127" s="108"/>
      <c r="AC127" s="108"/>
      <c r="AD127" s="108"/>
      <c r="AE127" s="108"/>
      <c r="AF127" s="108"/>
      <c r="AG127" s="108"/>
      <c r="AH127" s="108"/>
      <c r="AI127" s="108"/>
      <c r="AJ127" s="109"/>
      <c r="AK127" s="55"/>
      <c r="AL127" s="55"/>
      <c r="AM127" s="107" t="str">
        <f>IF([11]回答表!F17="簡易水道事業",IF([11]回答表!AD45="●",[11]回答表!B295,""),"")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IF([11]回答表!F17="下水道事業",IF([11]回答表!X45="●","●",""),"")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IF([11]回答表!F17="下水道事業",IF([11]回答表!X45="●",[11]回答表!B158,IF([11]回答表!AA45="●",[11]回答表!B223,"")),"")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IF([11]回答表!F17="下水道事業",IF([11]回答表!X45="●",[11]回答表!B212,IF([11]回答表!AA45="●",[11]回答表!B278,"")),"")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IF([11]回答表!F17="下水道事業",IF([11]回答表!X45="●",[11]回答表!Y193,IF([11]回答表!AA45="●",[11]回答表!Y259,"")),"")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IF([11]回答表!F17="下水道事業",IF([11]回答表!X45="●",[11]回答表!E212,IF([11]回答表!AA45="●",[11]回答表!E278,"")),"")</f>
        <v/>
      </c>
      <c r="BG142" s="84"/>
      <c r="BH142" s="84"/>
      <c r="BI142" s="84"/>
      <c r="BJ142" s="83" t="str">
        <f>IF([11]回答表!F17="下水道事業",IF([11]回答表!X45="●",[11]回答表!E213,IF([11]回答表!AA45="●",[11]回答表!E279,"")),"")</f>
        <v/>
      </c>
      <c r="BK142" s="84"/>
      <c r="BL142" s="84"/>
      <c r="BM142" s="84"/>
      <c r="BN142" s="83" t="str">
        <f>IF([11]回答表!F17="下水道事業",IF([11]回答表!X45="●",[11]回答表!E214,IF([11]回答表!AA45="●",[11]回答表!E280,"")),"")</f>
        <v/>
      </c>
      <c r="BO142" s="84"/>
      <c r="BP142" s="84"/>
      <c r="BQ142" s="87"/>
      <c r="BR142" s="37"/>
      <c r="BX142" s="211" t="str">
        <f>IF([11]回答表!AQ20="下水道事業",IF([11]回答表!BI48="○",[11]回答表!AM161,IF([11]回答表!BL48="○",[11]回答表!AM226,"")),"")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IF([11]回答表!F17="下水道事業",IF([11]回答表!X45="●",[11]回答表!Y195,IF([11]回答表!AA45="●",[11]回答表!Y261,"")),"")</f>
        <v/>
      </c>
      <c r="V147" s="120"/>
      <c r="W147" s="120"/>
      <c r="X147" s="120"/>
      <c r="Y147" s="120"/>
      <c r="Z147" s="120"/>
      <c r="AA147" s="120"/>
      <c r="AB147" s="121"/>
      <c r="AC147" s="119" t="str">
        <f>IF([11]回答表!F17="下水道事業",IF([11]回答表!X45="●",[11]回答表!Y196,IF([11]回答表!AA45="●",[11]回答表!Y262,"")),"")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IF([11]回答表!F17="下水道事業",IF([11]回答表!X45="●",[11]回答表!Y198,IF([11]回答表!AA45="●",[11]回答表!Y264,"")),"")</f>
        <v/>
      </c>
      <c r="V153" s="120"/>
      <c r="W153" s="120"/>
      <c r="X153" s="120"/>
      <c r="Y153" s="120"/>
      <c r="Z153" s="120"/>
      <c r="AA153" s="120"/>
      <c r="AB153" s="121"/>
      <c r="AC153" s="119" t="str">
        <f>IF([11]回答表!F17="下水道事業",IF([11]回答表!X45="●",[11]回答表!Y199,IF([11]回答表!AA45="●",[11]回答表!Y265,"")),"")</f>
        <v/>
      </c>
      <c r="AD153" s="120"/>
      <c r="AE153" s="120"/>
      <c r="AF153" s="120"/>
      <c r="AG153" s="120"/>
      <c r="AH153" s="120"/>
      <c r="AI153" s="120"/>
      <c r="AJ153" s="121"/>
      <c r="AK153" s="119" t="str">
        <f>IF([11]回答表!F17="下水道事業",IF([11]回答表!X45="●",[11]回答表!Y200,IF([11]回答表!AA45="●",[11]回答表!Y266,"")),"")</f>
        <v/>
      </c>
      <c r="AL153" s="120"/>
      <c r="AM153" s="120"/>
      <c r="AN153" s="120"/>
      <c r="AO153" s="120"/>
      <c r="AP153" s="120"/>
      <c r="AQ153" s="120"/>
      <c r="AR153" s="121"/>
      <c r="AS153" s="119" t="str">
        <f>IF([11]回答表!F17="下水道事業",IF([11]回答表!X45="●",[11]回答表!Y201,IF([11]回答表!AA45="●",[11]回答表!Y267,"")),"")</f>
        <v/>
      </c>
      <c r="AT153" s="120"/>
      <c r="AU153" s="120"/>
      <c r="AV153" s="120"/>
      <c r="AW153" s="120"/>
      <c r="AX153" s="120"/>
      <c r="AY153" s="120"/>
      <c r="AZ153" s="121"/>
      <c r="BA153" s="119" t="str">
        <f>IF([11]回答表!F17="下水道事業",IF([11]回答表!X45="●",[11]回答表!Y202,IF([11]回答表!AA45="●",[11]回答表!Y268,"")),"")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IF([11]回答表!F17="下水道事業",IF([11]回答表!AA45="●","●",""),"")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IF([11]回答表!F17="下水道事業",IF([11]回答表!X45="●",[11]回答表!Y207,IF([11]回答表!AA45="●",[11]回答表!Y273,"")),"")</f>
        <v/>
      </c>
      <c r="V159" s="120"/>
      <c r="W159" s="120"/>
      <c r="X159" s="120"/>
      <c r="Y159" s="120"/>
      <c r="Z159" s="120"/>
      <c r="AA159" s="120"/>
      <c r="AB159" s="121"/>
      <c r="AC159" s="119" t="str">
        <f>IF([11]回答表!F17="下水道事業",IF([11]回答表!X45="●",[11]回答表!Y208,IF([11]回答表!AA45="●",[11]回答表!Y274,"")),"")</f>
        <v/>
      </c>
      <c r="AD159" s="120"/>
      <c r="AE159" s="120"/>
      <c r="AF159" s="120"/>
      <c r="AG159" s="120"/>
      <c r="AH159" s="120"/>
      <c r="AI159" s="120"/>
      <c r="AJ159" s="121"/>
      <c r="AK159" s="119" t="str">
        <f>IF([11]回答表!F17="下水道事業",IF([11]回答表!X45="●",[11]回答表!Y209,IF([11]回答表!AA45="●",[11]回答表!Y275,"")),"")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IF([11]回答表!F17="下水道事業",IF([11]回答表!AD45="●","●",""),"")</f>
        <v/>
      </c>
      <c r="O164" s="99"/>
      <c r="P164" s="99"/>
      <c r="Q164" s="100"/>
      <c r="R164" s="38"/>
      <c r="S164" s="38"/>
      <c r="T164" s="38"/>
      <c r="U164" s="107" t="str">
        <f>IF([11]回答表!F17="下水道事業",IF([11]回答表!AD45="●",[11]回答表!B289,""),"")</f>
        <v/>
      </c>
      <c r="V164" s="108"/>
      <c r="W164" s="108"/>
      <c r="X164" s="108"/>
      <c r="Y164" s="108"/>
      <c r="Z164" s="108"/>
      <c r="AA164" s="108"/>
      <c r="AB164" s="108"/>
      <c r="AC164" s="108"/>
      <c r="AD164" s="108"/>
      <c r="AE164" s="108"/>
      <c r="AF164" s="108"/>
      <c r="AG164" s="108"/>
      <c r="AH164" s="108"/>
      <c r="AI164" s="108"/>
      <c r="AJ164" s="109"/>
      <c r="AK164" s="55"/>
      <c r="AL164" s="55"/>
      <c r="AM164" s="107" t="str">
        <f>IF([11]回答表!F17="下水道事業",IF([11]回答表!AD45="●",[11]回答表!B295,""),"")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IF([11]回答表!BD17="●",IF([11]回答表!X45="●","●",""),"")</f>
        <v/>
      </c>
      <c r="O176" s="99"/>
      <c r="P176" s="99"/>
      <c r="Q176" s="100"/>
      <c r="R176" s="38"/>
      <c r="S176" s="38"/>
      <c r="T176" s="38"/>
      <c r="U176" s="107" t="str">
        <f>IF([11]回答表!BD17="●",IF([11]回答表!X45="●",[11]回答表!B158,IF([11]回答表!AA45="●",[11]回答表!B223,"")),"")</f>
        <v/>
      </c>
      <c r="V176" s="108"/>
      <c r="W176" s="108"/>
      <c r="X176" s="108"/>
      <c r="Y176" s="108"/>
      <c r="Z176" s="108"/>
      <c r="AA176" s="108"/>
      <c r="AB176" s="108"/>
      <c r="AC176" s="108"/>
      <c r="AD176" s="108"/>
      <c r="AE176" s="108"/>
      <c r="AF176" s="108"/>
      <c r="AG176" s="108"/>
      <c r="AH176" s="108"/>
      <c r="AI176" s="108"/>
      <c r="AJ176" s="109"/>
      <c r="AK176" s="49"/>
      <c r="AL176" s="49"/>
      <c r="AM176" s="116" t="str">
        <f>IF([11]回答表!BD17="●",IF([11]回答表!X45="●",[11]回答表!B212,IF([11]回答表!AA45="●",[11]回答表!B278,"")),"")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IF([11]回答表!BD17="●",IF([11]回答表!X45="●",[11]回答表!E212,IF([11]回答表!AA45="●",[11]回答表!E278,"")),"")</f>
        <v/>
      </c>
      <c r="AN179" s="84"/>
      <c r="AO179" s="84"/>
      <c r="AP179" s="84"/>
      <c r="AQ179" s="83" t="str">
        <f>IF([11]回答表!BD17="●",IF([11]回答表!X45="●",[11]回答表!E213,IF([11]回答表!AA45="●",[11]回答表!E279,"")),"")</f>
        <v/>
      </c>
      <c r="AR179" s="84"/>
      <c r="AS179" s="84"/>
      <c r="AT179" s="84"/>
      <c r="AU179" s="83" t="str">
        <f>IF([11]回答表!BD17="●",IF([11]回答表!X45="●",[11]回答表!E214,IF([11]回答表!AA45="●",[11]回答表!E280,"")),"")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IF([11]回答表!BD17="●",IF([11]回答表!AA45="●","●",""),"")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IF([11]回答表!BD17="●",IF([11]回答表!AD45="●","●",""),"")</f>
        <v/>
      </c>
      <c r="O188" s="99"/>
      <c r="P188" s="99"/>
      <c r="Q188" s="100"/>
      <c r="R188" s="38"/>
      <c r="S188" s="38"/>
      <c r="T188" s="38"/>
      <c r="U188" s="107" t="str">
        <f>IF([11]回答表!BD17="●",IF([11]回答表!AD45="●",[11]回答表!B289,""),"")</f>
        <v/>
      </c>
      <c r="V188" s="108"/>
      <c r="W188" s="108"/>
      <c r="X188" s="108"/>
      <c r="Y188" s="108"/>
      <c r="Z188" s="108"/>
      <c r="AA188" s="108"/>
      <c r="AB188" s="108"/>
      <c r="AC188" s="108"/>
      <c r="AD188" s="108"/>
      <c r="AE188" s="108"/>
      <c r="AF188" s="108"/>
      <c r="AG188" s="108"/>
      <c r="AH188" s="108"/>
      <c r="AI188" s="108"/>
      <c r="AJ188" s="109"/>
      <c r="AK188" s="55"/>
      <c r="AL188" s="55"/>
      <c r="AM188" s="107" t="str">
        <f>IF([11]回答表!BD17="●",IF([11]回答表!AD45="●",[11]回答表!B295,""),"")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IF([11]回答表!X46="●","●","")</f>
        <v/>
      </c>
      <c r="O200" s="99"/>
      <c r="P200" s="99"/>
      <c r="Q200" s="100"/>
      <c r="R200" s="38"/>
      <c r="S200" s="38"/>
      <c r="T200" s="38"/>
      <c r="U200" s="107" t="str">
        <f>IF([11]回答表!X46="●",[11]回答表!B307,IF([11]回答表!AA46="●",[11]回答表!B324,""))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IF([11]回答表!X46="●",[11]回答表!U313,IF([11]回答表!AA46="●",[11]回答表!U330,""))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IF([11]回答表!X46="●",[11]回答表!G313,IF([11]回答表!AA46="●",[11]回答表!G330,""))</f>
        <v/>
      </c>
      <c r="AN203" s="120"/>
      <c r="AO203" s="120"/>
      <c r="AP203" s="120"/>
      <c r="AQ203" s="120"/>
      <c r="AR203" s="120"/>
      <c r="AS203" s="120"/>
      <c r="AT203" s="121"/>
      <c r="AU203" s="119" t="str">
        <f>IF([11]回答表!X46="●",[11]回答表!G314,IF([11]回答表!AA46="●",[11]回答表!G331,""))</f>
        <v/>
      </c>
      <c r="AV203" s="120"/>
      <c r="AW203" s="120"/>
      <c r="AX203" s="120"/>
      <c r="AY203" s="120"/>
      <c r="AZ203" s="120"/>
      <c r="BA203" s="120"/>
      <c r="BB203" s="121"/>
      <c r="BC203" s="39"/>
      <c r="BD203" s="34"/>
      <c r="BE203" s="34"/>
      <c r="BF203" s="83" t="str">
        <f>IF([11]回答表!X46="●",[11]回答表!X313,IF([11]回答表!AA46="●",[11]回答表!X330,""))</f>
        <v/>
      </c>
      <c r="BG203" s="84"/>
      <c r="BH203" s="84"/>
      <c r="BI203" s="84"/>
      <c r="BJ203" s="83" t="str">
        <f>IF([11]回答表!X46="●",[11]回答表!X314,IF([11]回答表!AA46="●",[11]回答表!X331,""))</f>
        <v/>
      </c>
      <c r="BK203" s="84"/>
      <c r="BL203" s="84"/>
      <c r="BM203" s="87"/>
      <c r="BN203" s="83" t="str">
        <f>IF([11]回答表!X46="●",[11]回答表!X315,IF([11]回答表!AA46="●",[11]回答表!X332,""))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IF([11]回答表!AD46="●","●","")</f>
        <v/>
      </c>
      <c r="O212" s="99"/>
      <c r="P212" s="99"/>
      <c r="Q212" s="100"/>
      <c r="R212" s="38"/>
      <c r="S212" s="38"/>
      <c r="T212" s="38"/>
      <c r="U212" s="107" t="str">
        <f>IF([11]回答表!AD46="●",[11]回答表!B337,"")</f>
        <v/>
      </c>
      <c r="V212" s="108"/>
      <c r="W212" s="108"/>
      <c r="X212" s="108"/>
      <c r="Y212" s="108"/>
      <c r="Z212" s="108"/>
      <c r="AA212" s="108"/>
      <c r="AB212" s="108"/>
      <c r="AC212" s="108"/>
      <c r="AD212" s="108"/>
      <c r="AE212" s="108"/>
      <c r="AF212" s="108"/>
      <c r="AG212" s="108"/>
      <c r="AH212" s="108"/>
      <c r="AI212" s="108"/>
      <c r="AJ212" s="109"/>
      <c r="AK212" s="62"/>
      <c r="AL212" s="62"/>
      <c r="AM212" s="107" t="str">
        <f>IF([11]回答表!AD46="●",[11]回答表!B343,"")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IF([11]回答表!X47="●","●","")</f>
        <v/>
      </c>
      <c r="O224" s="99"/>
      <c r="P224" s="99"/>
      <c r="Q224" s="100"/>
      <c r="R224" s="38"/>
      <c r="S224" s="38"/>
      <c r="T224" s="38"/>
      <c r="U224" s="107" t="str">
        <f>IF([11]回答表!X47="●",[11]回答表!B356,IF([11]回答表!AA47="●",[11]回答表!B379,""))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IF([11]回答表!X47="●",[11]回答表!B362,"")</f>
        <v/>
      </c>
      <c r="AO224" s="182"/>
      <c r="AP224" s="182"/>
      <c r="AQ224" s="182"/>
      <c r="AR224" s="182"/>
      <c r="AS224" s="182"/>
      <c r="AT224" s="182"/>
      <c r="AU224" s="182"/>
      <c r="AV224" s="182"/>
      <c r="AW224" s="182"/>
      <c r="AX224" s="182"/>
      <c r="AY224" s="182"/>
      <c r="AZ224" s="182"/>
      <c r="BA224" s="182"/>
      <c r="BB224" s="183"/>
      <c r="BC224" s="39"/>
      <c r="BD224" s="34"/>
      <c r="BE224" s="34"/>
      <c r="BF224" s="116" t="str">
        <f>IF([11]回答表!X47="●",[11]回答表!B368,IF([11]回答表!AA47="●",[11]回答表!B385,""))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IF([11]回答表!X47="●",[11]回答表!E368,IF([11]回答表!AA47="●",[11]回答表!E385,""))</f>
        <v/>
      </c>
      <c r="BG227" s="84"/>
      <c r="BH227" s="84"/>
      <c r="BI227" s="84"/>
      <c r="BJ227" s="83" t="str">
        <f>IF([11]回答表!X47="●",[11]回答表!E369,IF([11]回答表!AA47="●",[11]回答表!E386,""))</f>
        <v/>
      </c>
      <c r="BK227" s="84"/>
      <c r="BL227" s="84"/>
      <c r="BM227" s="87"/>
      <c r="BN227" s="83" t="str">
        <f>IF([11]回答表!X47="●",[11]回答表!E370,IF([11]回答表!AA47="●",[11]回答表!E387,""))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IF([11]回答表!AA47="●","●","")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IF([11]回答表!AD47="●","●","")</f>
        <v/>
      </c>
      <c r="O236" s="99"/>
      <c r="P236" s="99"/>
      <c r="Q236" s="100"/>
      <c r="R236" s="38"/>
      <c r="S236" s="38"/>
      <c r="T236" s="38"/>
      <c r="U236" s="107" t="str">
        <f>IF([11]回答表!AD47="●",[11]回答表!B392,"")</f>
        <v/>
      </c>
      <c r="V236" s="108"/>
      <c r="W236" s="108"/>
      <c r="X236" s="108"/>
      <c r="Y236" s="108"/>
      <c r="Z236" s="108"/>
      <c r="AA236" s="108"/>
      <c r="AB236" s="108"/>
      <c r="AC236" s="108"/>
      <c r="AD236" s="108"/>
      <c r="AE236" s="108"/>
      <c r="AF236" s="108"/>
      <c r="AG236" s="108"/>
      <c r="AH236" s="108"/>
      <c r="AI236" s="108"/>
      <c r="AJ236" s="109"/>
      <c r="AK236" s="62"/>
      <c r="AL236" s="62"/>
      <c r="AM236" s="107" t="str">
        <f>IF([11]回答表!AD47="●",[11]回答表!B398,"")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IF([11]回答表!X48="●","●","")</f>
        <v/>
      </c>
      <c r="O248" s="99"/>
      <c r="P248" s="99"/>
      <c r="Q248" s="100"/>
      <c r="R248" s="38"/>
      <c r="S248" s="38"/>
      <c r="T248" s="38"/>
      <c r="U248" s="107" t="str">
        <f>IF([11]回答表!X48="●",[11]回答表!B411,IF([11]回答表!AA48="●",[11]回答表!B425,""))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IF([11]回答表!X48="●",[11]回答表!BC418,IF([11]回答表!AA48="●",[11]回答表!BC432,""))</f>
        <v/>
      </c>
      <c r="AR248" s="151"/>
      <c r="AS248" s="151"/>
      <c r="AT248" s="151"/>
      <c r="AU248" s="173" t="s">
        <v>73</v>
      </c>
      <c r="AV248" s="174"/>
      <c r="AW248" s="174"/>
      <c r="AX248" s="175"/>
      <c r="AY248" s="151" t="str">
        <f>IF([11]回答表!X48="●",[11]回答表!BC423,IF([11]回答表!AA48="●",[11]回答表!BC437,""))</f>
        <v/>
      </c>
      <c r="AZ248" s="151"/>
      <c r="BA248" s="151"/>
      <c r="BB248" s="151"/>
      <c r="BC248" s="39"/>
      <c r="BD248" s="34"/>
      <c r="BE248" s="34"/>
      <c r="BF248" s="116" t="str">
        <f>IF([11]回答表!X48="●",[11]回答表!S417,IF([11]回答表!AA48="●",[11]回答表!S431,""))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IF([11]回答表!X48="●",[11]回答表!BC419,IF([11]回答表!AA48="●",[11]回答表!BC433,""))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IF([11]回答表!X48="●",[11]回答表!V417,IF([11]回答表!AA48="●",[11]回答表!V431,""))</f>
        <v/>
      </c>
      <c r="BG251" s="84"/>
      <c r="BH251" s="84"/>
      <c r="BI251" s="84"/>
      <c r="BJ251" s="83" t="str">
        <f>IF([11]回答表!X48="●",[11]回答表!V418,IF([11]回答表!AA48="●",[11]回答表!V432,""))</f>
        <v/>
      </c>
      <c r="BK251" s="84"/>
      <c r="BL251" s="84"/>
      <c r="BM251" s="87"/>
      <c r="BN251" s="83" t="str">
        <f>IF([11]回答表!X48="●",[11]回答表!V419,IF([11]回答表!AA48="●",[11]回答表!V433,""))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IF([11]回答表!X48="●",[11]回答表!BC420,IF([11]回答表!AA48="●",[11]回答表!BC434,""))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IF([11]回答表!X48="●",[11]回答表!BC424,IF([11]回答表!AA48="●",[11]回答表!BC438,""))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IF([11]回答表!X48="●",[11]回答表!BC421,IF([11]回答表!AA48="●",[11]回答表!BC435,""))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IF([11]回答表!X48="●",[11]回答表!BC422,IF([11]回答表!AA48="●",[11]回答表!BC436,""))</f>
        <v/>
      </c>
      <c r="AR256" s="151"/>
      <c r="AS256" s="151"/>
      <c r="AT256" s="151"/>
      <c r="AU256" s="152" t="s">
        <v>79</v>
      </c>
      <c r="AV256" s="153"/>
      <c r="AW256" s="153"/>
      <c r="AX256" s="154"/>
      <c r="AY256" s="158" t="str">
        <f>IF([11]回答表!X48="●",[11]回答表!BC425,IF([11]回答表!AA48="●",[11]回答表!BC439,""))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IF([11]回答表!AD48="●","●","")</f>
        <v/>
      </c>
      <c r="O260" s="99"/>
      <c r="P260" s="99"/>
      <c r="Q260" s="100"/>
      <c r="R260" s="38"/>
      <c r="S260" s="38"/>
      <c r="T260" s="38"/>
      <c r="U260" s="107" t="str">
        <f>IF([11]回答表!AD48="●",[11]回答表!B439,"")</f>
        <v/>
      </c>
      <c r="V260" s="108"/>
      <c r="W260" s="108"/>
      <c r="X260" s="108"/>
      <c r="Y260" s="108"/>
      <c r="Z260" s="108"/>
      <c r="AA260" s="108"/>
      <c r="AB260" s="108"/>
      <c r="AC260" s="108"/>
      <c r="AD260" s="108"/>
      <c r="AE260" s="108"/>
      <c r="AF260" s="108"/>
      <c r="AG260" s="108"/>
      <c r="AH260" s="108"/>
      <c r="AI260" s="108"/>
      <c r="AJ260" s="109"/>
      <c r="AK260" s="55"/>
      <c r="AL260" s="55"/>
      <c r="AM260" s="107" t="str">
        <f>IF([11]回答表!AD48="●",[11]回答表!B445,"")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IF([11]回答表!X49="●","●","")</f>
        <v/>
      </c>
      <c r="O271" s="99"/>
      <c r="P271" s="99"/>
      <c r="Q271" s="100"/>
      <c r="R271" s="38"/>
      <c r="S271" s="38"/>
      <c r="T271" s="38"/>
      <c r="U271" s="107" t="str">
        <f>IF([11]回答表!X49="●",[11]回答表!B458,IF([11]回答表!AA49="●",[11]回答表!B475,""))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IF([11]回答表!X49="●",[11]回答表!B468,IF([11]回答表!AA49="●",[11]回答表!B485,""))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IF([11]回答表!X49="●",[11]回答表!G464,IF([11]回答表!AA49="●",[11]回答表!G481,""))</f>
        <v/>
      </c>
      <c r="AN273" s="120"/>
      <c r="AO273" s="120"/>
      <c r="AP273" s="120"/>
      <c r="AQ273" s="120"/>
      <c r="AR273" s="120"/>
      <c r="AS273" s="120"/>
      <c r="AT273" s="121"/>
      <c r="AU273" s="119" t="str">
        <f>IF([11]回答表!X49="●",[11]回答表!G465,IF([11]回答表!AA49="●",[11]回答表!G482,""))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IF([11]回答表!X49="●",[11]回答表!E468,IF([11]回答表!AA49="●",[11]回答表!E485,""))</f>
        <v/>
      </c>
      <c r="BG274" s="84"/>
      <c r="BH274" s="84"/>
      <c r="BI274" s="84"/>
      <c r="BJ274" s="83" t="str">
        <f>IF([11]回答表!X49="●",[11]回答表!E469,IF([11]回答表!AA49="●",[11]回答表!E486,""))</f>
        <v/>
      </c>
      <c r="BK274" s="84"/>
      <c r="BL274" s="84"/>
      <c r="BM274" s="87"/>
      <c r="BN274" s="83" t="str">
        <f>IF([11]回答表!X49="●",[11]回答表!E470,IF([11]回答表!AA49="●",[11]回答表!E487,""))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IF([11]回答表!AD49="●","●","")</f>
        <v/>
      </c>
      <c r="O283" s="99"/>
      <c r="P283" s="99"/>
      <c r="Q283" s="100"/>
      <c r="R283" s="38"/>
      <c r="S283" s="38"/>
      <c r="T283" s="38"/>
      <c r="U283" s="107" t="str">
        <f>IF([11]回答表!AD49="●",[11]回答表!B492,"")</f>
        <v/>
      </c>
      <c r="V283" s="108"/>
      <c r="W283" s="108"/>
      <c r="X283" s="108"/>
      <c r="Y283" s="108"/>
      <c r="Z283" s="108"/>
      <c r="AA283" s="108"/>
      <c r="AB283" s="108"/>
      <c r="AC283" s="108"/>
      <c r="AD283" s="108"/>
      <c r="AE283" s="108"/>
      <c r="AF283" s="108"/>
      <c r="AG283" s="108"/>
      <c r="AH283" s="108"/>
      <c r="AI283" s="108"/>
      <c r="AJ283" s="109"/>
      <c r="AK283" s="49"/>
      <c r="AL283" s="49"/>
      <c r="AM283" s="107" t="str">
        <f>IF([11]回答表!AD49="●",[11]回答表!B498,"")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IF([11]回答表!R50="●",[11]回答表!B511,"")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