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13_ncr:1_{08A31A19-3408-4CC2-9FC3-7EBF33130119}" xr6:coauthVersionLast="46" xr6:coauthVersionMax="46" xr10:uidLastSave="{00000000-0000-0000-0000-000000000000}"/>
  <bookViews>
    <workbookView xWindow="10860" yWindow="885" windowWidth="14985" windowHeight="13875" tabRatio="910" xr2:uid="{891CE542-D2B9-4742-BAD2-944658600FB2}"/>
  </bookViews>
  <sheets>
    <sheet name="水道" sheetId="1" r:id="rId1"/>
    <sheet name="工業用水道" sheetId="2" r:id="rId2"/>
    <sheet name="簡易水道" sheetId="3" r:id="rId3"/>
    <sheet name="病院" sheetId="4" r:id="rId4"/>
    <sheet name="下水道（公共下水道）" sheetId="5" r:id="rId5"/>
    <sheet name="下水道（特定環境保全公共下水道）" sheetId="6" r:id="rId6"/>
    <sheet name="下水道（農業集落排水施設）" sheetId="7" r:id="rId7"/>
    <sheet name="下水道（特定地域排水処理施設）" sheetId="8" r:id="rId8"/>
    <sheet name="市場" sheetId="9" r:id="rId9"/>
    <sheet name="介護サービス（指定介護老人福祉施設）" sheetId="10" r:id="rId10"/>
    <sheet name="介護サービス（老人短期入所施設）" sheetId="11" r:id="rId11"/>
    <sheet name="介護サービス（老人デイサービスセンター）" sheetId="12" r:id="rId12"/>
    <sheet name="駐車場"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Print_Area" localSheetId="4">'下水道（公共下水道）'!$A$1:$BS$315</definedName>
    <definedName name="_xlnm.Print_Area" localSheetId="5">'下水道（特定環境保全公共下水道）'!$A$1:$BS$315</definedName>
    <definedName name="_xlnm.Print_Area" localSheetId="7">'下水道（特定地域排水処理施設）'!$A$1:$BS$315</definedName>
    <definedName name="_xlnm.Print_Area" localSheetId="6">'下水道（農業集落排水施設）'!$A$1:$BS$315</definedName>
    <definedName name="_xlnm.Print_Area" localSheetId="9">'介護サービス（指定介護老人福祉施設）'!$A$1:$BS$315</definedName>
    <definedName name="_xlnm.Print_Area" localSheetId="11">'介護サービス（老人デイサービスセンター）'!$A$1:$BS$315</definedName>
    <definedName name="_xlnm.Print_Area" localSheetId="10">'介護サービス（老人短期入所施設）'!$A$1:$BS$315</definedName>
    <definedName name="_xlnm.Print_Area" localSheetId="2">簡易水道!$A$1:$BS$315</definedName>
    <definedName name="_xlnm.Print_Area" localSheetId="1">工業用水道!$A$1:$BS$315</definedName>
    <definedName name="_xlnm.Print_Area" localSheetId="8">市場!$A$1:$BS$315</definedName>
    <definedName name="_xlnm.Print_Area" localSheetId="0">水道!$A$1:$BS$315</definedName>
    <definedName name="_xlnm.Print_Area" localSheetId="12">駐車場!$A$1:$BS$315</definedName>
    <definedName name="_xlnm.Print_Area" localSheetId="3">病院!$A$1:$BS$315</definedName>
    <definedName name="業種名" localSheetId="4">[1]選択肢!$K$2:$K$19</definedName>
    <definedName name="業種名" localSheetId="5">[2]選択肢!$K$2:$K$19</definedName>
    <definedName name="業種名" localSheetId="7">[3]選択肢!$K$2:$K$19</definedName>
    <definedName name="業種名" localSheetId="6">[4]選択肢!$K$2:$K$19</definedName>
    <definedName name="業種名" localSheetId="9">[5]選択肢!$K$2:$K$19</definedName>
    <definedName name="業種名" localSheetId="11">[6]選択肢!$K$2:$K$19</definedName>
    <definedName name="業種名" localSheetId="10">[7]選択肢!$K$2:$K$19</definedName>
    <definedName name="業種名" localSheetId="2">[8]選択肢!$K$2:$K$19</definedName>
    <definedName name="業種名" localSheetId="1">[9]選択肢!$K$2:$K$19</definedName>
    <definedName name="業種名" localSheetId="8">[10]選択肢!$K$2:$K$19</definedName>
    <definedName name="業種名" localSheetId="12">[11]選択肢!$K$2:$K$19</definedName>
    <definedName name="業種名" localSheetId="3">[12]選択肢!$K$2:$K$19</definedName>
    <definedName name="業種名">[13]選択肢!$K$2:$K$19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l="1"/>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U51" i="8" l="1"/>
  <c r="D296" i="8"/>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U51" i="7" l="1"/>
  <c r="D296" i="7"/>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<sst xmlns="http://schemas.openxmlformats.org/spreadsheetml/2006/main" count="2431" uniqueCount="85">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</sst>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Alignment="1">
      <alignment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12" fillId="2" borderId="0" xfId="0" applyFont="1" applyFill="1" applyAlignment="1"/>
    <xf numFmtId="0" fontId="12" fillId="2" borderId="6" xfId="0" applyFont="1" applyFill="1" applyBorder="1" applyAlignment="1"/>
    <xf numFmtId="0" fontId="13" fillId="2" borderId="0" xfId="0" applyFont="1" applyFill="1">
      <alignment vertical="center"/>
    </xf>
    <xf numFmtId="0" fontId="15" fillId="0" borderId="0" xfId="0" applyFont="1" applyAlignment="1"/>
    <xf numFmtId="0" fontId="16" fillId="2" borderId="0" xfId="0" applyFont="1" applyFill="1">
      <alignment vertical="center"/>
    </xf>
    <xf numFmtId="0" fontId="17" fillId="2" borderId="0" xfId="0" applyFont="1" applyFill="1">
      <alignment vertical="center"/>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22" fillId="2" borderId="0" xfId="0" applyFont="1" applyFill="1" applyAlignment="1">
      <alignment vertical="center" wrapText="1"/>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26" fillId="2" borderId="0" xfId="0" applyFont="1" applyFill="1">
      <alignment vertical="center"/>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19" fillId="2" borderId="6" xfId="0" applyFont="1" applyFill="1" applyBorder="1">
      <alignment vertical="center"/>
    </xf>
    <xf numFmtId="0" fontId="13" fillId="2" borderId="8" xfId="0" applyFont="1" applyFill="1" applyBorder="1" applyAlignment="1">
      <alignment horizontal="center" vertical="center"/>
    </xf>
    <xf numFmtId="0" fontId="15" fillId="2" borderId="0" xfId="0" applyFont="1" applyFill="1" applyAlignment="1">
      <alignment horizontal="left" vertical="center" wrapText="1"/>
    </xf>
    <xf numFmtId="0" fontId="23" fillId="2" borderId="0" xfId="0" applyFont="1" applyFill="1" applyAlignment="1">
      <alignment horizontal="left" vertical="center"/>
    </xf>
    <xf numFmtId="0" fontId="11" fillId="2" borderId="0" xfId="0" applyFont="1" applyFill="1">
      <alignment vertical="center"/>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1" fillId="0" borderId="0" xfId="0" applyFont="1" applyAlignment="1">
      <alignment horizontal="left" vertical="center"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5" fillId="2" borderId="10" xfId="0" applyFont="1" applyFill="1" applyBorder="1" applyAlignment="1">
      <alignment horizontal="left"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16" fillId="0" borderId="1" xfId="0" quotePrefix="1" applyFont="1" applyBorder="1" applyAlignment="1">
      <alignment horizontal="center" vertical="center" wrapText="1"/>
    </xf>
    <xf numFmtId="0" fontId="15" fillId="2" borderId="3" xfId="0" applyFont="1" applyFill="1" applyBorder="1" applyAlignment="1">
      <alignment horizontal="left" wrapText="1"/>
    </xf>
    <xf numFmtId="0" fontId="15" fillId="2" borderId="8" xfId="0" applyFont="1" applyFill="1" applyBorder="1" applyAlignment="1">
      <alignment horizontal="left"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5" fillId="2" borderId="0" xfId="0" applyFont="1" applyFill="1" applyAlignment="1">
      <alignment horizontal="left"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3"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3" fillId="0" borderId="1" xfId="0" applyFont="1" applyBorder="1" applyAlignment="1">
      <alignment horizontal="center" vertical="center" wrapText="1" shrinkToFit="1"/>
    </xf>
    <xf numFmtId="0" fontId="24" fillId="0" borderId="10" xfId="0" applyFont="1" applyBorder="1">
      <alignment vertical="center"/>
    </xf>
    <xf numFmtId="0" fontId="24" fillId="0" borderId="12" xfId="0" applyFont="1" applyBorder="1">
      <alignmen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5" fillId="0" borderId="10" xfId="0" applyFont="1" applyBorder="1">
      <alignment vertical="center"/>
    </xf>
    <xf numFmtId="0" fontId="25" fillId="0" borderId="12" xfId="0" applyFont="1" applyBorder="1">
      <alignment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3" fillId="0" borderId="1" xfId="0" applyFont="1" applyBorder="1" applyAlignment="1">
      <alignment horizontal="center"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6" fillId="0" borderId="2" xfId="0" applyFont="1" applyBorder="1" applyAlignment="1">
      <alignment horizontal="center" vertical="center" shrinkToFit="1"/>
    </xf>
  </cellXfs>
  <cellStyles count="1">
    <cellStyle name="標準" xfId="0" builtinId="0"/>
  </cellStyles>
  <dxfs count="2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5.xml" />
  <Relationship Id="rId26" Type="http://schemas.openxmlformats.org/officeDocument/2006/relationships/externalLink" Target="externalLinks/externalLink13.xml" />
  <Relationship Id="rId3" Type="http://schemas.openxmlformats.org/officeDocument/2006/relationships/worksheet" Target="worksheets/sheet3.xml" />
  <Relationship Id="rId21" Type="http://schemas.openxmlformats.org/officeDocument/2006/relationships/externalLink" Target="externalLinks/externalLink8.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4.xml" />
  <Relationship Id="rId25" Type="http://schemas.openxmlformats.org/officeDocument/2006/relationships/externalLink" Target="externalLinks/externalLink12.xml" />
  <Relationship Id="rId2" Type="http://schemas.openxmlformats.org/officeDocument/2006/relationships/worksheet" Target="worksheets/sheet2.xml" />
  <Relationship Id="rId16" Type="http://schemas.openxmlformats.org/officeDocument/2006/relationships/externalLink" Target="externalLinks/externalLink3.xml" />
  <Relationship Id="rId20" Type="http://schemas.openxmlformats.org/officeDocument/2006/relationships/externalLink" Target="externalLinks/externalLink7.xml" />
  <Relationship Id="rId29"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1.xml" />
  <Relationship Id="rId5" Type="http://schemas.openxmlformats.org/officeDocument/2006/relationships/worksheet" Target="worksheets/sheet5.xml" />
  <Relationship Id="rId15" Type="http://schemas.openxmlformats.org/officeDocument/2006/relationships/externalLink" Target="externalLinks/externalLink2.xml" />
  <Relationship Id="rId23" Type="http://schemas.openxmlformats.org/officeDocument/2006/relationships/externalLink" Target="externalLinks/externalLink10.xml" />
  <Relationship Id="rId28" Type="http://schemas.openxmlformats.org/officeDocument/2006/relationships/styles" Target="styles.xml" />
  <Relationship Id="rId10" Type="http://schemas.openxmlformats.org/officeDocument/2006/relationships/worksheet" Target="worksheets/sheet10.xml" />
  <Relationship Id="rId19" Type="http://schemas.openxmlformats.org/officeDocument/2006/relationships/externalLink" Target="externalLinks/externalLink6.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1.xml" />
  <Relationship Id="rId22" Type="http://schemas.openxmlformats.org/officeDocument/2006/relationships/externalLink" Target="externalLinks/externalLink9.xml" />
  <Relationship Id="rId27" Type="http://schemas.openxmlformats.org/officeDocument/2006/relationships/theme" Target="theme/theme1.xml" />
  <Relationship Id="rId30"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513EEBF-5710-4B3C-8523-137F1E1D333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05F41B2-40EB-4FF5-BD42-054F4A94F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21E02F6-1ABB-42F7-8A2B-CD26004D03F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42ECEA4-869B-4443-B775-0169E84A341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34FDD43-B6AF-4620-9328-F2014D147ED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50C5E46-D9E7-4539-96F9-E6BCABC725F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BF0A703-D626-4002-912C-6CC5E09AFE8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705AFE0-7238-43C8-9759-DFE1F002331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4A864A7-FBD3-4146-B98B-51AA7CBEEFC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1238DFD-C5DD-4948-A99A-1063B285E4F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C9785C3-2774-4EA1-A797-50206DD6699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8F3AB30-CF02-4681-8533-AAA99ED9CC5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62D774D-36C0-41E7-A8C3-7F3DFA102BD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AD7DA5A-B698-4ED6-95F4-8F7A9CF0E88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4C835D0-9F4A-43F6-B635-177C1C50B90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015EEE37-6415-4DD0-89C4-6DDCBD6CC3C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2E3EB34-6370-4B43-A808-233B4348A4B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B83BA93-3307-4B86-9BA7-CC0A19F0DF8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C34D88C-CA5D-4E1C-A22D-C124C266530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8CF8341-69DB-455E-BDE9-270AE3DFF4B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DF24F6D-B525-4432-8545-004C6AD2BFC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C3623AF-546F-43D4-9BB4-EACABA84EBE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DE26B43-CC5D-44DA-A59B-9422B1012E1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ACEC986-553D-4FF6-9A98-5BCBF5845DA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C799EE3-AC74-451C-84D9-9610B3F22C4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D7EB334-E15F-47CE-95A7-CE43111B235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A9E2EE5-BEED-44F5-BF1E-6620FD8252E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5BA2CF3-D9E1-4C20-84BB-EDA898F2EBC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D190860-EA5D-4968-A30D-EFDB1318A53D}"/>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767D4D7-5421-4602-B545-388ABD82417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C46B058-BFB4-4960-8CCC-3E70077896D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518CA4D-5226-4AFC-80C5-12F9D5A9675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F7353CA-2F2B-4687-89E9-3245EBF4B09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0248A3D-567A-481C-BEA0-A455004941D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D093573-F660-40F9-96BD-57E07D304408}"/>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5AFCDD9-AFCA-41EC-B43D-956FD045D9F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C6C8205-67E6-4DC8-9813-FE030F450A6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C3B1A10-1634-4AC9-8719-190ECB881D0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CD4B7DA-0117-4F69-AB32-FEE8C553B97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C88D994-3503-4CC5-9B90-90F0A2EA42F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D879ED9-CA1D-485B-AD30-2DF32D771BE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431383F-3205-41E2-8240-482F1C4C074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99B5CCD-EDF4-4A5C-A536-E47789B8E28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6F255AC-E63C-4C87-B934-EE9766094B8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06851B4-A761-448E-8A73-0D116CF2CC3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34AAF46-C0CC-4DDA-87BB-6634C97BE39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06A70C2-79DC-4407-B831-4B87954CCB2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AD48DA3-CEFF-4BEC-8148-8E77B185936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60FC692-AB4B-4A1B-87BC-7BFBF90A62DC}"/>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E6E3AB0-8F4A-4049-87A9-849644AE020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86DA3CC-04D9-4A45-B4D3-24C3374075E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B029F0C-499B-439F-B64E-1807FF3E2AE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4EEDD6C-1458-46A4-BD36-02B000F7A54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F05EFA1-2AA2-437D-BDEF-349CE00087D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C9942AD-247A-4C72-934F-A991C338811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E4A10BC-DAF3-4B52-92EB-81DE6F69016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85C10CD8-951E-4013-8DB1-D71E227C046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FE57E45-AB72-4D43-BF5C-353619BC55B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4AE67A6-02D8-492B-A1E2-5A9E5DB3A42D}"/>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B5D1F524-C7A8-476E-9A01-9D889753795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F32F8CF-4E39-4B9F-AAF2-8D64DB04AD2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2552852-0A9D-4ED9-9CB3-1D7405A9B05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F375B86-19AB-4C1C-A5A6-4FF32DFB87E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5D817D0-0EE8-45DA-9227-C4B094882C1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466E6BD-EBFF-4A7E-A6A2-3CDBB014F36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9DA7C6A-501A-4796-8F2D-6DD786BF4F9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313AA41-FA03-4927-ABF9-D4444ED46AD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F327B71-7ACD-4411-9F8E-2D886CA2133E}"/>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90E5A8B-3DCD-40B0-B86B-9FD94FCE42E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03748CB-239F-4056-8B4B-CD111BFE3D3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7E499C8-6D15-455B-A520-A61AA49C70F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E15F71E-57FC-420E-91AE-D02FBAD272CE}"/>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9DDCAE3-9446-4626-813A-0211F10B72F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CB16492-11BB-4EFE-8B43-C630A53036C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EABB156-2D13-4673-83C9-1BB58F81990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157C88D-A179-446A-83E9-35F4FE309D2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F76E486-7B56-4070-8B54-B61240B1981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2C51D07-0EA2-4A19-9424-B75BEA7C59B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9C9CD2B-A3E6-4D34-A2CB-FB6A75CB7D9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FE9A4DE-0730-4877-BFA8-9B469E78FAF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B750D95-FB75-43A7-97CA-48827D4509B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5B30D85-F3F6-410C-8C7A-3D5D1A983AA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7C8AEA1-7849-4F90-A9B7-63CF60525A1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98A7EC9-0185-4A94-BA89-018B8832F4A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4649048-8E11-4DA9-A61E-1A831AD7881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39A77B9-6459-468D-9FD2-D4C23B73ABF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BAAD068-4445-42BF-B8A3-BFD9B8E487E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B98729E-D2F3-4453-B9D8-D972AD8B525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4D3799D-126B-4938-9B6D-E8123F26023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76B69D0-EE45-47D5-BB84-6C52AFC8C56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A99E73E-7EE2-4E21-8C40-6D45E9FB764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A3E81D2-EDB3-4075-AD2D-EE5D7A6E751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F69F88A-486E-493B-91A8-EA755B85E2D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AFC5E85-8316-496A-B9FC-5B89A036161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28B26F2-BEEB-4583-8824-89D3B9E5A9C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D7251F3-7E85-410A-8F70-8A0C06EA2A2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6C1F018-D750-4DD5-A758-7567E6D558B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BA199C4-71FC-41F9-9569-7CE24C33F8B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3B89CAC-CBEA-4F39-BC79-86F2E29466DC}"/>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1FA704D-D8AF-41E1-91C2-E626ED29A7A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4BF8BC0-7E3D-4338-9679-7E30F4E02A2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97E421C-A07F-45F1-AFA1-0C3723C3F75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1E7083C-15AA-4573-9CCA-B837489582B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F345470-1847-4364-9A75-39EA2735D50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A6E64CA-962F-4E38-9417-24076052B8F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5512C0A-2551-4B7F-A40D-D9855CFD640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CF31EED-1906-43BD-8501-3941326AC07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D64A620-6DF7-430C-A2D4-7BC51BB87BE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CF14F15-7DDC-4415-BB0F-C2AA42787FD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0E25265-14F7-41C8-B57B-60F5A141252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FC729C7-422C-4080-8031-AAE90F4024E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1EAB1D4-6113-4190-8565-A1ED9FBA62A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C161F74-1059-4ACC-8985-F7123DA676A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4E6E731-310E-4128-A36C-669D47FDDC3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A2EB8545-8422-4F7C-A375-7F04261DF58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62E8C34-30F8-4DBC-9F28-5C41ADB31F7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A07A18A-AFB5-44A0-99B7-7E4BA9C422C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C6E37EA-8C6C-4086-A344-EE3F4AE60CE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FFE7A98-17B6-460C-A071-37AF0238A9B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8E20B29-7BE1-45C2-8383-A6950B5BCB6B}"/>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47CB2A9-9623-4DFF-9F8B-317107BF3D0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6D87B5B-698F-4B92-A8B1-6BEF987DA7F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ED89E15-2570-4075-954A-232D8183C55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2FB6F6A-2213-4473-97D1-9AFAA10945B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765B25C-224A-4061-953E-F90A45432BD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F6F24C0-FEA2-4B2C-AF30-7502BD24205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8B7A914-91F4-472E-B1D0-585900927C3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991AC8C-EDD4-47B2-93F9-B69D0B65309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3308E51-BE43-4FB0-9BD5-230376949D7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F1E9BEF-269A-4DB5-B0E3-1E7AC571942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892287D-8238-4A5F-BD37-C7D909D8E29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51AD574-E9EE-49FC-BC46-66ED8DAE172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838185C-050C-48EE-98C0-331E41364FE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7EB8996-7780-42F7-8C66-176983C552A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6BAB7F6-E335-4C3B-B1E5-69B876A113F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9117012-FE4E-4D6F-9934-26D6D49DDCE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0EDEAEE-E7CE-48C4-BB30-CEA555AE46D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A2C8BDA-04C1-4946-9A5A-219DA02372E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BB2E846-398D-4BD1-A671-AF687252DC7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0042D75-8202-40DD-A3C6-E9C3CB488E1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7C36A59-F881-4EA9-BE72-CCD0017F655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FEBB71D-BB7F-498C-B90E-D89DB8690D63}"/>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BDCDF58-1B8B-48AA-B63C-6480598DA60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1C88CFA-A409-4B1B-81AE-4098A4EDD93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6FFF857-AABA-4C88-8D84-F1BED10A18C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74F74A1-100C-4DC6-9FAA-50C630719E9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039B796-DA83-4922-BA1B-8BDA22D5FDC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1535159-611C-4B9E-885F-2FBBF35693C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BB6B127-B497-4033-A664-E7D998E6755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CF72FA0-070A-4FBC-BB5B-C63DCE1671D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540444F-8FD0-4AD0-97E0-A417325015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8B7A962-7D31-4A77-9D2E-D3C63376ECA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D76A274-0040-4B82-B02E-EE80E89DDCB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C955F6A-EC88-4E6F-B25E-A1F89A6DA7C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C166181-C210-4EB9-8242-355252B0943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9C594DE-B7F3-4DD9-ACD0-E4EA6488424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9630909-84FA-4D1B-B250-0A952231D62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2B998F1-7D66-4338-8DC1-B774A5D1C4F0}"/>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91558BC-9FCB-4C77-B972-60F8D39EADE0}"/>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9B3E756-ED12-464D-8C26-2D049D14CAB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8DDBB1C-C3E0-4D5C-A852-A1C46F4D29D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CC415F2-0F6A-4CC5-AE55-9EE9B9FC924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06141D9-6AFE-419F-A07C-287C3FE7991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3D50A51-43D1-41E7-82D5-7FDD9363A6C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74C3834-FD8D-4DB8-9426-0A26F5131C0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E7CCC57-DFF5-4674-90AB-D303E3267CD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0A16411-7B98-4CB5-8CD1-0F437C02A11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3415186-D832-490C-B81A-B586A3FB381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DF7088D-64AF-4061-B3D8-A1D9720A357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9625F48-44FD-482B-B189-8C6C181CADF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5672161-3773-4E0E-B44C-4BCCA3010BE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9AF429E-4900-4D04-809B-B913D0DD1CD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292FF9F-2EB0-4D33-A3AF-733E74B865A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0AF6E35-5AC4-4294-BE7E-3164EC0AF95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37C69B2-D5C1-49FB-8C4D-96E8A4668DF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9F3CCD3-C132-40CE-9EB5-7AF69D925FD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C9E2A3A-AA11-4695-8643-494CFEFA6AB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8D872F4-FA3E-4A41-BCCA-41FB76DB175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5509D869-9927-47E0-AF8A-3578E19E598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86CFCE-60FA-4AAB-A7BD-463E8779751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94D85157-30C8-40F1-9C1A-7BA1FC03C7C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F8E59DE-4A87-48AF-AE92-28228087980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110CBEB-DD76-4F96-B618-2EE71FD050C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79E40D0-E327-444E-969D-783BF114885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8D96074-1E90-40EB-90A4-6D23C16197B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CD20CCD-0A91-45C7-8A71-E0892248BDE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CC417CB-5C2D-404F-9C21-49370269349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3F6D550-3159-43EA-AB1A-AFD4FE1781B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024E6C9-9D9D-447D-A57E-8B369DC539E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B896A15-F299-4908-8CBF-8D13FB55D56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FC843A7-E405-47F7-9399-254F7047B2F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5024FA4-DF9B-406F-9F0C-5CC1EEA2457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1442900-9890-4C59-8EBA-D3F0EC7F8C3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EC675DB-461C-4288-9404-DCDD519D87F2}"/>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4D7C780-5DAB-4CAB-B91E-5090FCFE1B6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E979504-3AAB-4851-8B16-69A52C8141B6}"/>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161A011-9E29-4988-B6D8-33B2450ACFE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FD2C341-4B58-446E-85D6-0BA78C8E33F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A68CA9E-A4E6-4965-9DF5-C28597BD0D2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4E6181F-64F8-43EF-906F-4642A8718EFD}"/>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0326542-DF8B-4944-919F-CD2B69C2F52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AD7AF4D-DCAE-4CA2-83F4-BEE07451BF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226BD89-D815-4BEA-A8FD-5750C8B74FF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F83F02E-CAA4-4065-B82F-B0B32B5F762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19F2B50-62B3-4BEE-AED9-F2A0809D801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736B6AA-A840-40EE-9970-543A5845118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F6DB577-02B1-4667-9ECD-BD12BF9A808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E2D88BF-A9EB-457B-85B1-F969E081017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8FCB67E-AE17-4F69-BCF7-AF2072C1383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582828E-BDEF-4148-B834-C436AA171B7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DBE918F-2E9D-469D-B46D-94FF9A3CEE21}"/>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5AF20BB-5A84-4C5C-9E37-1935DA888A6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721FD26-7882-4179-8FD7-949F5C20E447}"/>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50D162A-3BDD-4F6E-935A-98CD9174D71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A98440D-A05A-4DE9-A7B1-884CD06BE713}"/>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FBDC7F2-C624-43C8-8F87-FE68D697A76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EEBCF099-96A0-4740-9CE4-7EA81DE8979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306803C-4D4F-4258-BD6F-9301313A7A5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E1B91D4-07A8-4D5E-A6EB-449469CD4F3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9D42652-8863-477D-9D63-B6D7B45F4D3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2CA6C2D-395D-4438-B4E7-948B7C85C47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B475744-4496-459F-8E6D-C8C991C2ED1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63AAC89-671B-4D58-94EB-ACF109F2894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206C661-7149-430A-A6B6-BD5563C9B58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FA297B6-2C45-4A6C-874F-93E82C5588B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5427BCE-EE1F-49B4-9F0D-0358E43DCFC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CBAB04-F8AA-4BCB-BB7F-DC4022707CD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9C351CD-AF71-4E6F-8965-66309CAFCB3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D2C38E3-7642-45BA-B40B-8F027B90DC7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6169621-302B-4542-8616-FA87C7B4C153}"/>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09D5517-9CA4-46B4-B110-3CC36CA04584}"/>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337C0072-8B67-4870-AE90-0D481FBB898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8ECEF13-F709-445D-A845-E3E66EAD246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E6FF329-AA07-4977-84D7-C540EC23FE8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C6A23AF-ABEA-45B5-A7DA-B9AFED0D8D8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D23ED2B-FA28-417B-A83F-65FA152A5A0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A2227691-62E2-49FA-AA47-5C21F8402EC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2996C3B-5D14-4CCB-BF9A-92E0E21F82B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9B7230C-7849-4486-AA12-EB51CC6DC84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9861438-59D8-4E07-8CC0-4FF7C48185E5}"/>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D2223B6-304E-4A79-8889-99A417070DC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2962961-963D-4CC4-98ED-5C3C69ACED8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0F1376B-9D7B-4D7F-91FF-FD301B780B7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161CE8E-139A-4CA4-9DC7-E73B8CC53CE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CEFB5C6-6C74-4BA5-BCCC-45F6DA6DEB3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E39514D-FE57-43D8-9F48-2636333EA1F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37DCE9B-A8B0-4A60-8D1D-C92223EB1FA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C3B1ACD-E141-49A7-A32E-F3A2E53881F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B1F25CC-053E-4833-9DA8-CFA18374DA3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57D8823-2E98-4952-8FDA-9471CE6DE95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FEBEFCA-8FAE-4D16-8444-C0FA7109ED8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349058A-FA27-434E-8B04-A929D187E7A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916B868-15AC-47E2-9C68-A3FF57651DC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87658D8-B86F-41C4-A442-6A5116E0831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4D705EB-4526-496B-AB92-136C798078D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2645A78-D4AC-43EE-A35F-E3F49F229DC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9BA8E57-D55E-4F81-9393-E5298BAB49D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F499E20-7A74-4B93-BDC9-FE5A5134CE3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64977D2-7279-4500-BD9E-EC7AD3F4CE4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13C80226-CDA7-41A7-8EBD-C6C38807F32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5CB8907-8799-432E-A63D-95C49698BFE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BEC635F-3470-4C93-A4A7-A96DC2CE6D2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40CA02E-9204-46AC-8F81-4F81F6AC7A56}"/>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A5C54E6-DE80-4C38-AED8-B38D8698898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0CCDCA6-A7AF-4F35-A61F-58A842892FD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CD0A50C-4F81-4D76-BFBF-741E95BA95D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C0B44BD-E204-4AD2-A440-1BEFCD043B5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E5CE5BD-3050-4C2A-B3C1-7F1D2A22F36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7736BD0-4DC5-4EDF-8EEB-1A565F3E90F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F632C9D-9C32-4112-809B-DD30C687FFF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2EB50C2-82AD-4221-896D-81C40FFC99B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8F1405A-733E-4ADC-AE59-D137D755F17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6771A3C-884E-4B19-92B4-EA42C2B267E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3601EA5-CDBD-469B-9070-898751EE758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22E6550-11BD-4C81-89A1-82101B3C86D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C68F32E-97B5-4264-AD3D-60059146D95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114742B-B5E9-476D-AE73-14230E661C4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DB8D8CE-DEDD-4EE0-8C30-B3B18B4CFE2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A043543-9094-498B-A967-077CD8A576D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8B74610-98A8-4756-8F68-C8FF5F90454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1883CA9-D4DE-406B-A180-A5CC570E6FF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4F39A1D-5397-49B3-B9DB-3E6AAE47D20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3EEF36F-EDE3-409D-A03E-6FD6BB64F85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734C27F-1B99-4BD3-9FE7-9B670A6B140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3347EAC-4B15-4867-8BA1-EE68692AC0C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B35DF2E-EBF3-4D65-A414-D0FDD9CA9EA1}"/>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29481BA-638D-42AF-8C2E-8D963BD42C5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6E63611-FA69-4912-B528-F32DEEAFC6B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0AA6CD5-CDDC-4EF0-99E6-562D3E6F4C3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A3C1A57-0C89-420E-AFC2-EB30EED4261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AE9D037-67AB-4259-B1E0-7AD74A42828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F65610E-65E9-47FD-A576-4042A695136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912F7C2-9BAB-434E-8150-1E00EABB3F6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521E48E-1901-4575-9FC7-5ABCD4D7874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6F6EE3A-1D86-4E43-B421-72111D491BA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7C777BD-63A0-4C2E-BFCF-A07905E8092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2F0B3D7-CAE6-4E83-90E8-FF704CBB254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38E7748-E3C1-41E8-8038-1585341BEBF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42A9697-24F4-4AD5-BCEF-432643FB57F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2A0255D-891A-4833-A55C-B3346C6ECEB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40D6450-C0E3-41D2-A34F-1F432D89DB0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631DE2D-1EC9-45DC-87D5-71DE30554EA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169091C-BFF8-40D8-A861-077C4728210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817C6B5-353B-4FDE-AC6F-D6FC5899271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272E362-F1FF-4707-B4D8-B347ACDEA1F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DA6E2EC-8426-4F57-A6AF-E527EDEE6D89}"/>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2CB60F9-B5A1-47CF-A45B-9F3BB3C81D9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F22B622-7207-4E62-8CE2-BA518E3DA49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8D6BB9C-0B57-467E-A41A-215AF0FFBDE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8970F2C7-0993-45A8-8536-64BC6738DF5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C0E81DC-37AF-421A-96D5-3971252CEC9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4F95898-4A28-44C3-94C7-B337E0C04F5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D1EFCC4-47E4-4A76-B268-E79060CD6D9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A391A87-38CA-461A-B4D6-6A5581B95FC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29FAD7A-2AAD-48A5-9FC6-4E74A75A0E8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7701A7A-464A-4280-A3FD-D0C72B255E7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12BC7373-D50D-437B-A1C9-91A17C0A063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84EE354-43A8-4CF1-A575-859A8EA428F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CF425C1-68E9-4496-BBDE-8834B3A021F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88B7BF7-CBBF-4357-B385-B25E03D712F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D1906F5-6E31-4B49-84AC-83A3C825D7D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DE48880-3793-418F-9017-EE8C3A37C46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9931272-E831-4282-9C70-B7C37C0CCAF4}"/>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B300284-22A0-4BA0-932C-5C4BE1976DD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40FA3F9-E31C-4797-BC24-F9F3384F428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下水道事業</v>
          </cell>
          <cell r="W17" t="str">
            <v>公共下水道</v>
          </cell>
          <cell r="BD17" t="str">
            <v>×</v>
          </cell>
        </row>
        <row r="19">
          <cell r="F19" t="str">
            <v>ー</v>
          </cell>
        </row>
        <row r="43">
          <cell r="X43" t="str">
            <v xml:space="preserve"> </v>
          </cell>
          <cell r="AA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6">
          <cell r="Y196" t="str">
            <v xml:space="preserve"> </v>
          </cell>
        </row>
        <row r="198">
          <cell r="Y198" t="str">
            <v xml:space="preserve"> </v>
          </cell>
        </row>
        <row r="199">
          <cell r="Y199" t="str">
            <v xml:space="preserve"> </v>
          </cell>
        </row>
        <row r="201">
          <cell r="Y201" t="str">
            <v xml:space="preserve"> </v>
          </cell>
        </row>
        <row r="202">
          <cell r="Y202" t="str">
            <v xml:space="preserve"> </v>
          </cell>
        </row>
        <row r="207">
          <cell r="Y207" t="str">
            <v xml:space="preserve"> </v>
          </cell>
        </row>
        <row r="208">
          <cell r="Y208" t="str">
            <v xml:space="preserve"> </v>
          </cell>
        </row>
        <row r="223">
          <cell r="B223" t="str">
            <v>　し尿受入施設を下水道終末処理場の大館処理センター敷地内に建設し、搬入されたし尿等を大館処理センターの汚泥処理系と共同処理をし、発生した脱水汚泥は秋田県の県北地区広域汚泥資源化施設で資源化する。これにより、現在の同等施設の更新建設事業費等と比較すると900百万円の削減が見込まれるほか、維持管理費等も70百万円/年の削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2">
          <cell r="Y262" t="str">
            <v xml:space="preserve"> </v>
          </cell>
        </row>
        <row r="264">
          <cell r="Y264" t="str">
            <v xml:space="preserve"> </v>
          </cell>
        </row>
        <row r="265">
          <cell r="Y265" t="str">
            <v xml:space="preserve"> </v>
          </cell>
        </row>
        <row r="267">
          <cell r="Y267" t="str">
            <v xml:space="preserve"> </v>
          </cell>
        </row>
        <row r="268">
          <cell r="Y268" t="str">
            <v>●</v>
          </cell>
        </row>
        <row r="273">
          <cell r="Y273" t="str">
            <v>●</v>
          </cell>
        </row>
        <row r="274">
          <cell r="Y274" t="str">
            <v xml:space="preserve"> </v>
          </cell>
        </row>
        <row r="275">
          <cell r="Y275" t="str">
            <v xml:space="preserve"> </v>
          </cell>
        </row>
        <row r="278">
          <cell r="B278" t="str">
            <v>令和</v>
          </cell>
          <cell r="E278">
            <v>6</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市場事業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現行の経営体制・手法で健全な事業運営が実施できているため。
　現状の事業規模と将来的な規模拡大の可能性を鑑み、抜本的な改革の検討に至らないため。</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駐車場整備事業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特別会計を設置して公設駐車場の運営及び建設事業債の償還を行っていたが、事業廃止後に施設の管理方法を見直したことで管理運営費△4,369千円（H26年度3月補正予算後予算額とR3年度当初予算額対比）となった。</v>
          </cell>
        </row>
        <row r="65">
          <cell r="G65" t="str">
            <v>●</v>
          </cell>
          <cell r="S65" t="str">
            <v>平成</v>
          </cell>
          <cell r="V65">
            <v>27</v>
          </cell>
        </row>
        <row r="66">
          <cell r="G66" t="str">
            <v xml:space="preserve"> </v>
          </cell>
          <cell r="V66">
            <v>3</v>
          </cell>
        </row>
        <row r="67">
          <cell r="V67">
            <v>31</v>
          </cell>
        </row>
        <row r="71">
          <cell r="O71" t="str">
            <v xml:space="preserve"> </v>
          </cell>
          <cell r="AG71" t="str">
            <v xml:space="preserve"> </v>
          </cell>
        </row>
        <row r="72">
          <cell r="O72" t="str">
            <v xml:space="preserve"> </v>
          </cell>
          <cell r="AG72" t="str">
            <v>●</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扇田病院の患者数の減少等による経営状況の悪化から資金不足が発生しており、現行の体制では収益の改善は難しく、施設の老朽化も進んでいることから、現在経営層で構成される「経営戦略会議」において将来の方向性を協議中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v>
          </cell>
          <cell r="X48" t="str">
            <v xml:space="preserve"> </v>
          </cell>
          <cell r="AA48" t="str">
            <v xml:space="preserve"> </v>
          </cell>
          <cell r="AD48" t="str">
            <v>●</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平成２９年３月３１日に簡易水道を統合した水道事業における他市町村との経営面などソフト部門の統合</v>
          </cell>
        </row>
        <row r="295">
          <cell r="B295" t="str">
            <v>県が策定した「秋田県水道ビジョン」を基に検討している。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料金等徴収業務</v>
          </cell>
        </row>
        <row r="398">
          <cell r="B398" t="str">
            <v>徴収料金の適正な管理や会計システムとの連携</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439" t="str">
            <v>コンセッション方式の導入</v>
          </cell>
          <cell r="BC439" t="str">
            <v>　</v>
          </cell>
        </row>
        <row r="445">
          <cell r="B445" t="str">
            <v>研修会に参加するなど情報収集に努めているが、デメリットなど水道事業の不利益が生じないかを含めて慎重に検討している。</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下水道事業</v>
          </cell>
          <cell r="W17" t="str">
            <v>特定環境保全公共下水道</v>
          </cell>
          <cell r="BD17" t="str">
            <v>×</v>
          </cell>
        </row>
        <row r="19">
          <cell r="F19" t="str">
            <v>ー</v>
          </cell>
        </row>
        <row r="43">
          <cell r="X43" t="str">
            <v xml:space="preserve"> </v>
          </cell>
          <cell r="AA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v>
          </cell>
          <cell r="X48" t="str">
            <v>●</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6">
          <cell r="Y196" t="str">
            <v xml:space="preserve"> </v>
          </cell>
        </row>
        <row r="198">
          <cell r="Y198" t="str">
            <v xml:space="preserve"> </v>
          </cell>
        </row>
        <row r="199">
          <cell r="Y199" t="str">
            <v xml:space="preserve"> </v>
          </cell>
        </row>
        <row r="201">
          <cell r="Y201" t="str">
            <v xml:space="preserve"> </v>
          </cell>
        </row>
        <row r="202">
          <cell r="Y202" t="str">
            <v xml:space="preserve"> </v>
          </cell>
        </row>
        <row r="207">
          <cell r="Y207" t="str">
            <v xml:space="preserve"> </v>
          </cell>
        </row>
        <row r="208">
          <cell r="Y208" t="str">
            <v xml:space="preserve"> </v>
          </cell>
        </row>
        <row r="223">
          <cell r="B223" t="str">
            <v>　真中地区農業集落排水施設の終末処理場の老朽化に伴い大館処理区の終末処理場へ接続管等を整備する。現在の同等施設の更新建設事業費と大館処理区終末処理場への接続管渠等の整備事業と比較すると220百万円の削減が見込まれるほか、維持管理費等も6百万円/年の削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4">
          <cell r="Y264" t="str">
            <v xml:space="preserve"> </v>
          </cell>
        </row>
        <row r="265">
          <cell r="Y265" t="str">
            <v xml:space="preserve"> </v>
          </cell>
        </row>
        <row r="266">
          <cell r="Y266" t="str">
            <v>●</v>
          </cell>
        </row>
        <row r="267">
          <cell r="Y267" t="str">
            <v xml:space="preserve"> </v>
          </cell>
        </row>
        <row r="274">
          <cell r="Y274" t="str">
            <v xml:space="preserve"> </v>
          </cell>
        </row>
        <row r="275">
          <cell r="Y275" t="str">
            <v xml:space="preserve"> </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1">
          <cell r="B411" t="str">
            <v>　大館市川口・立花地区の公共下水道未普及解消事業（管渠整備）においてＰＰＰ手法を導入し早期の完成を目指す。
 総事業費で10％の縮減、工事は約１．３倍程度のスピードが可能となるため工期短縮効果がある。</v>
          </cell>
        </row>
        <row r="417">
          <cell r="S417" t="str">
            <v>令和</v>
          </cell>
          <cell r="V417">
            <v>1</v>
          </cell>
        </row>
        <row r="418">
          <cell r="V418">
            <v>5</v>
          </cell>
          <cell r="BC418" t="str">
            <v>　</v>
          </cell>
        </row>
        <row r="419">
          <cell r="V419">
            <v>28</v>
          </cell>
          <cell r="BC419" t="str">
            <v>　</v>
          </cell>
        </row>
        <row r="420">
          <cell r="BC420" t="str">
            <v>　</v>
          </cell>
        </row>
        <row r="421">
          <cell r="BC421" t="str">
            <v>●</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下水道事業</v>
          </cell>
          <cell r="W17" t="str">
            <v>特定地域排水処理施設</v>
          </cell>
          <cell r="BD17" t="str">
            <v>×</v>
          </cell>
        </row>
        <row r="19">
          <cell r="F19" t="str">
            <v>ー</v>
          </cell>
        </row>
        <row r="43">
          <cell r="R43" t="str">
            <v>●</v>
          </cell>
          <cell r="X43" t="str">
            <v xml:space="preserve"> </v>
          </cell>
          <cell r="AA43" t="str">
            <v xml:space="preserve"> </v>
          </cell>
          <cell r="AD43" t="str">
            <v>●</v>
          </cell>
        </row>
        <row r="44">
          <cell r="R44" t="str">
            <v>●</v>
          </cell>
          <cell r="X44" t="str">
            <v xml:space="preserve"> </v>
          </cell>
          <cell r="AA44" t="str">
            <v xml:space="preserve"> </v>
          </cell>
          <cell r="AD44" t="str">
            <v>●</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99">
          <cell r="B99" t="str">
            <v xml:space="preserve">当市の特定地域生活排水処理地域の町設置浄化槽について、合併した際、他の市町は、設置費補助としてきたが1町だけ町設置浄化槽としていたため、農集の廃止が進んできた際、浄化槽を民間譲渡し事業廃止を検討
</v>
          </cell>
        </row>
        <row r="104">
          <cell r="B104" t="str">
            <v>現在、法定検査実施率９割以上であるが、民間譲渡することにより実施率が低下する。機器の更新の際に残価設定・補助対応について検討が必要</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40">
          <cell r="B140" t="str">
            <v>当市の特定地域生活排水処理地域の町設置浄化槽について、合併した際、他の市町は、設置費補助としてきたが1町だけ町設置浄化槽としていたため、農集の廃止が進んできた際、浄化槽の民間譲渡を検討</v>
          </cell>
        </row>
        <row r="146">
          <cell r="B146" t="str">
            <v>現在、法定検査実施率９割以上であるが、民間譲渡することにより実施率が低下する。機器の更新の際に残価設定・補助対応について検討が必要</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下水道事業</v>
          </cell>
          <cell r="W17" t="str">
            <v>農業集落排水施設</v>
          </cell>
          <cell r="BD17" t="str">
            <v>×</v>
          </cell>
        </row>
        <row r="19">
          <cell r="F19" t="str">
            <v>ー</v>
          </cell>
        </row>
        <row r="43">
          <cell r="R43" t="str">
            <v>●</v>
          </cell>
          <cell r="X43" t="str">
            <v xml:space="preserve"> </v>
          </cell>
          <cell r="AA43" t="str">
            <v xml:space="preserve"> </v>
          </cell>
          <cell r="AD43" t="str">
            <v>●</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99">
          <cell r="B99" t="str">
            <v xml:space="preserve">当市の農集地域、11箇所のうち、10地区について公共接続、残り1地区については、集合処理浄化槽転換を検討している。
</v>
          </cell>
        </row>
        <row r="104">
          <cell r="B104" t="str">
            <v>10地区について公共接続・処理場廃止としているが、生活排水処理整備構想で、平面地図上だけの検討のため３次元的に接続予定箇所の検討が必要</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6">
          <cell r="Y196" t="str">
            <v xml:space="preserve"> </v>
          </cell>
        </row>
        <row r="198">
          <cell r="Y198" t="str">
            <v xml:space="preserve"> </v>
          </cell>
        </row>
        <row r="199">
          <cell r="Y199" t="str">
            <v xml:space="preserve"> </v>
          </cell>
        </row>
        <row r="201">
          <cell r="Y201" t="str">
            <v xml:space="preserve"> </v>
          </cell>
        </row>
        <row r="202">
          <cell r="Y202" t="str">
            <v xml:space="preserve"> </v>
          </cell>
        </row>
        <row r="207">
          <cell r="Y207" t="str">
            <v xml:space="preserve"> </v>
          </cell>
        </row>
        <row r="208">
          <cell r="Y208" t="str">
            <v xml:space="preserve"> </v>
          </cell>
        </row>
        <row r="223">
          <cell r="B223" t="str">
            <v>10地区について公共接続・処理場廃止とし、流域処理場への流入処理を予定・検討している。うち真中地区の統合事業が実施予定で、公共接続により、農業集落排水事業で行う場合に比べて年間3,465千円の管理費減少が見込まれる。他９地区は計画段階。</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 xml:space="preserve"> </v>
          </cell>
        </row>
        <row r="273">
          <cell r="Y273" t="str">
            <v xml:space="preserve"> </v>
          </cell>
        </row>
        <row r="274">
          <cell r="Y274" t="str">
            <v xml:space="preserve"> </v>
          </cell>
        </row>
        <row r="275">
          <cell r="Y275" t="str">
            <v>●</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介護サービス事業</v>
          </cell>
          <cell r="W17" t="str">
            <v>指定介護老人福祉施設</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v>
          </cell>
          <cell r="X44" t="str">
            <v xml:space="preserve"> </v>
          </cell>
          <cell r="AA44" t="str">
            <v xml:space="preserve"> </v>
          </cell>
          <cell r="AD44" t="str">
            <v>●</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40">
          <cell r="B140" t="str">
            <v>大館市介護保険事業計画第９期中で民間への譲渡も検討している。
公共施設等総合管理計画を策定し、議会への報告、ホームページで公開済み。</v>
          </cell>
        </row>
        <row r="146">
          <cell r="B146" t="str">
            <v>令和６年４月を目途に譲渡することで検討。
施設の老朽化もあり、経費が増大しないよう譲渡方法を検討している。</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特別養護老人ホーム（定員１１０人）の管理・運営
住民サービスの充実、介護サービスの質の向上が図られた。</v>
          </cell>
        </row>
        <row r="313">
          <cell r="G313" t="str">
            <v xml:space="preserve"> </v>
          </cell>
          <cell r="U313" t="str">
            <v>平成</v>
          </cell>
          <cell r="X313">
            <v>18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介護サービス事業</v>
          </cell>
          <cell r="W17" t="str">
            <v>老人デイサービスセンター</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v>
          </cell>
          <cell r="X44" t="str">
            <v xml:space="preserve"> </v>
          </cell>
          <cell r="AA44" t="str">
            <v xml:space="preserve"> </v>
          </cell>
          <cell r="AD44" t="str">
            <v>●</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40">
          <cell r="B140" t="str">
            <v>大館市介護保険事業計画第９期中で民間への譲渡も検討している。
公共施設等総合管理計画を策定し、議会への報告、ホームページで公開済み。</v>
          </cell>
        </row>
        <row r="146">
          <cell r="B146" t="str">
            <v>「大館市デイサービスセンター大滝」については、令和６年４月を目途に譲渡することで検討。
施設の老朽化もあり、経費が増大しないよう譲渡方法を検討している。
「大館市デイサービスセンターかつら」については譲渡予定はなし。</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老人デイサービスセンター（デイサービスセンターかつら：定員２５人、デイサービスセンター大滝：定員３５人）の管理・運営
住民サービスの充実、介護サービスの質の向上が図られた。</v>
          </cell>
        </row>
        <row r="313">
          <cell r="G313" t="str">
            <v xml:space="preserve"> </v>
          </cell>
          <cell r="U313" t="str">
            <v>平成</v>
          </cell>
          <cell r="X313">
            <v>18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介護サービス事業</v>
          </cell>
          <cell r="W17" t="str">
            <v>老人短期入所施設</v>
          </cell>
          <cell r="BD17" t="str">
            <v>●</v>
          </cell>
        </row>
        <row r="19">
          <cell r="F19" t="str">
            <v>介護サービス事業特別会計</v>
          </cell>
        </row>
        <row r="43">
          <cell r="R43" t="str">
            <v xml:space="preserve"> </v>
          </cell>
          <cell r="X43" t="str">
            <v xml:space="preserve"> </v>
          </cell>
          <cell r="AA43" t="str">
            <v xml:space="preserve"> </v>
          </cell>
          <cell r="AD43" t="str">
            <v xml:space="preserve"> </v>
          </cell>
        </row>
        <row r="44">
          <cell r="R44" t="str">
            <v>●</v>
          </cell>
          <cell r="X44" t="str">
            <v xml:space="preserve"> </v>
          </cell>
          <cell r="AA44" t="str">
            <v xml:space="preserve"> </v>
          </cell>
          <cell r="AD44" t="str">
            <v>●</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40">
          <cell r="B140" t="str">
            <v>大館市介護保険事業計画第９期中で民間への譲渡も検討している。
公共施設等総合管理計画を策定し、議会への報告、ホームページで公開済み。</v>
          </cell>
        </row>
        <row r="146">
          <cell r="B146" t="str">
            <v>令和６年４月を目途に譲渡することで検討。
施設の老朽化もあり、経費が増大しないよう譲渡方法を検討している。</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老人短期入所施設（定員１０人）の管理・運営
住民サービスの充実、介護サービスの質の向上が図られた。</v>
          </cell>
        </row>
        <row r="313">
          <cell r="G313" t="str">
            <v xml:space="preserve"> </v>
          </cell>
          <cell r="U313" t="str">
            <v>平成</v>
          </cell>
          <cell r="X313">
            <v>18</v>
          </cell>
        </row>
        <row r="314">
          <cell r="G314" t="str">
            <v>●</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上水道と簡易水道に分かれていたため契約や決算など事務処理が繁雑であったが、統合したことにより迅速に処理できるようになった。</v>
          </cell>
        </row>
        <row r="65">
          <cell r="G65" t="str">
            <v>●</v>
          </cell>
          <cell r="S65" t="str">
            <v>平成</v>
          </cell>
          <cell r="V65">
            <v>29</v>
          </cell>
        </row>
        <row r="66">
          <cell r="G66" t="str">
            <v xml:space="preserve"> </v>
          </cell>
          <cell r="V66">
            <v>3</v>
          </cell>
        </row>
        <row r="67">
          <cell r="V67">
            <v>31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大館市</v>
          </cell>
        </row>
        <row r="17">
          <cell r="F17" t="str">
            <v>工業用水道事業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現行の経営体制・手法で健全な事業運営が実施できているため大きな改革の予定はなし。
今後の方向性
①専門的な知識や技術を持った人材の育成とその知識や技術を継承していくために研修等を実施し、安全性を強化する。
②逓減型従量制料金制度による安価な料金体制を継続することで企業誘致に貢献し、収益の増加を図る。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E5131-C7CE-42EE-8553-C34D2BC6DD37}">
  <sheetPr>
    <pageSetUpPr fitToPage="1"/>
  </sheetPr>
  <dimension ref="A1:CN315"/>
  <sheetViews>
    <sheetView showZeros="0" tabSelected="1" view="pageBreakPreview" zoomScale="60" zoomScaleNormal="55" workbookViewId="0">
      <selection activeCell="V35" sqref="V3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IF(COUNTIF([13]回答表!K15,"*")&gt;0,[13]回答表!K15,"")</f>
        <v>大館市</v>
      </c>
      <c r="D11" s="299"/>
      <c r="E11" s="299"/>
      <c r="F11" s="299"/>
      <c r="G11" s="299"/>
      <c r="H11" s="299"/>
      <c r="I11" s="299"/>
      <c r="J11" s="299"/>
      <c r="K11" s="299"/>
      <c r="L11" s="299"/>
      <c r="M11" s="299"/>
      <c r="N11" s="299"/>
      <c r="O11" s="299"/>
      <c r="P11" s="299"/>
      <c r="Q11" s="299"/>
      <c r="R11" s="299"/>
      <c r="S11" s="299"/>
      <c r="T11" s="299"/>
      <c r="U11" s="306" t="str">
        <f>IF(COUNTIF([13]回答表!F17,"*")&gt;0,[13]回答表!F17,"")</f>
        <v>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IF(COUNTIF([13]回答表!W17,"*")&gt;0,[13]回答表!W17,"")</f>
        <v>―</v>
      </c>
      <c r="AP11" s="301"/>
      <c r="AQ11" s="301"/>
      <c r="AR11" s="301"/>
      <c r="AS11" s="301"/>
      <c r="AT11" s="301"/>
      <c r="AU11" s="301"/>
      <c r="AV11" s="301"/>
      <c r="AW11" s="301"/>
      <c r="AX11" s="301"/>
      <c r="AY11" s="301"/>
      <c r="AZ11" s="301"/>
      <c r="BA11" s="301"/>
      <c r="BB11" s="301"/>
      <c r="BC11" s="301"/>
      <c r="BD11" s="301"/>
      <c r="BE11" s="301"/>
      <c r="BF11" s="302"/>
      <c r="BG11" s="305" t="str">
        <f>IF(COUNTIF([13]回答表!F19,"*")&gt;0,[13]回答表!F19,"")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IF([13]回答表!R43="●","●","")</f>
        <v/>
      </c>
      <c r="E24" s="123"/>
      <c r="F24" s="123"/>
      <c r="G24" s="123"/>
      <c r="H24" s="123"/>
      <c r="I24" s="123"/>
      <c r="J24" s="124"/>
      <c r="K24" s="122" t="str">
        <f>IF([13]回答表!R44="●","●","")</f>
        <v/>
      </c>
      <c r="L24" s="123"/>
      <c r="M24" s="123"/>
      <c r="N24" s="123"/>
      <c r="O24" s="123"/>
      <c r="P24" s="123"/>
      <c r="Q24" s="124"/>
      <c r="R24" s="122" t="str">
        <f>IF([13]回答表!R45="●","●","")</f>
        <v>●</v>
      </c>
      <c r="S24" s="123"/>
      <c r="T24" s="123"/>
      <c r="U24" s="123"/>
      <c r="V24" s="123"/>
      <c r="W24" s="123"/>
      <c r="X24" s="124"/>
      <c r="Y24" s="122" t="str">
        <f>IF([13]回答表!R46="●","●","")</f>
        <v/>
      </c>
      <c r="Z24" s="123"/>
      <c r="AA24" s="123"/>
      <c r="AB24" s="123"/>
      <c r="AC24" s="123"/>
      <c r="AD24" s="123"/>
      <c r="AE24" s="124"/>
      <c r="AF24" s="122" t="str">
        <f>IF([13]回答表!R47="●","●","")</f>
        <v>●</v>
      </c>
      <c r="AG24" s="123"/>
      <c r="AH24" s="123"/>
      <c r="AI24" s="123"/>
      <c r="AJ24" s="123"/>
      <c r="AK24" s="123"/>
      <c r="AL24" s="124"/>
      <c r="AM24" s="122" t="str">
        <f>IF([13]回答表!R48="●","●","")</f>
        <v>●</v>
      </c>
      <c r="AN24" s="123"/>
      <c r="AO24" s="123"/>
      <c r="AP24" s="123"/>
      <c r="AQ24" s="123"/>
      <c r="AR24" s="123"/>
      <c r="AS24" s="124"/>
      <c r="AT24" s="122" t="str">
        <f>IF([13]回答表!R49="●","●","")</f>
        <v/>
      </c>
      <c r="AU24" s="123"/>
      <c r="AV24" s="123"/>
      <c r="AW24" s="123"/>
      <c r="AX24" s="123"/>
      <c r="AY24" s="123"/>
      <c r="AZ24" s="124"/>
      <c r="BA24" s="18"/>
      <c r="BB24" s="119" t="str">
        <f>IF([13]回答表!R50="●","●","")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IF([13]回答表!X43="●","●","")</f>
        <v/>
      </c>
      <c r="O36" s="99"/>
      <c r="P36" s="99"/>
      <c r="Q36" s="100"/>
      <c r="R36" s="38"/>
      <c r="S36" s="38"/>
      <c r="T36" s="38"/>
      <c r="U36" s="107" t="str">
        <f>IF([13]回答表!X43="●",[13]回答表!B59,IF([13]回答表!AA43="●",[13]回答表!B79,""))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IF([13]回答表!X43="●",[13]回答表!S65,IF([13]回答表!AA43="●",[13]回答表!S85,""))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IF([13]回答表!X43="●",[13]回答表!G65,IF([13]回答表!AA43="●",[13]回答表!G85,""))</f>
        <v/>
      </c>
      <c r="AN38" s="120"/>
      <c r="AO38" s="120"/>
      <c r="AP38" s="120"/>
      <c r="AQ38" s="120"/>
      <c r="AR38" s="120"/>
      <c r="AS38" s="120"/>
      <c r="AT38" s="121"/>
      <c r="AU38" s="119" t="str">
        <f>IF([13]回答表!X43="●",[13]回答表!G66,IF([13]回答表!AA43="●",[13]回答表!G86,""))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IF([13]回答表!X43="●",[13]回答表!V65,IF([13]回答表!AA43="●",[13]回答表!V85,""))</f>
        <v/>
      </c>
      <c r="BG39" s="249"/>
      <c r="BH39" s="249"/>
      <c r="BI39" s="250"/>
      <c r="BJ39" s="83" t="str">
        <f>IF([13]回答表!X43="●",[13]回答表!V66,IF([13]回答表!AA43="●",[13]回答表!V86,""))</f>
        <v/>
      </c>
      <c r="BK39" s="249"/>
      <c r="BL39" s="249"/>
      <c r="BM39" s="250"/>
      <c r="BN39" s="83" t="str">
        <f>IF([13]回答表!X43="●",[13]回答表!V67,IF([13]回答表!AA43="●",[13]回答表!V87,""))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IF([13]回答表!X43="●",[13]回答表!O71,IF([13]回答表!AA43="●",[13]回答表!O91,""))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IF([13]回答表!X43="●",[13]回答表!O72,IF([13]回答表!AA43="●",[13]回答表!O92,""))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IF([13]回答表!X43="●",[13]回答表!O73,IF([13]回答表!AA43="●",[13]回答表!O93,""))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IF([13]回答表!X43="●",[13]回答表!O74,IF([13]回答表!AA43="●",[13]回答表!O94,""))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IF([13]回答表!X43="●",[13]回答表!AG71,IF([13]回答表!AA43="●",[13]回答表!AG91,""))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IF([13]回答表!X43="●",[13]回答表!AG72,IF([13]回答表!AA43="●",[13]回答表!AG92,""))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IF([13]回答表!AD43="●","●","")</f>
        <v/>
      </c>
      <c r="O51" s="99"/>
      <c r="P51" s="99"/>
      <c r="Q51" s="100"/>
      <c r="R51" s="38"/>
      <c r="S51" s="38"/>
      <c r="T51" s="38"/>
      <c r="U51" s="107" t="str">
        <f>IF([13]回答表!AD43="●",[13]回答表!B99,"")</f>
        <v/>
      </c>
      <c r="V51" s="108"/>
      <c r="W51" s="108"/>
      <c r="X51" s="108"/>
      <c r="Y51" s="108"/>
      <c r="Z51" s="108"/>
      <c r="AA51" s="108"/>
      <c r="AB51" s="108"/>
      <c r="AC51" s="108"/>
      <c r="AD51" s="108"/>
      <c r="AE51" s="108"/>
      <c r="AF51" s="108"/>
      <c r="AG51" s="108"/>
      <c r="AH51" s="108"/>
      <c r="AI51" s="108"/>
      <c r="AJ51" s="109"/>
      <c r="AK51" s="55"/>
      <c r="AL51" s="55"/>
      <c r="AM51" s="107" t="str">
        <f>IF([13]回答表!AD43="●",[13]回答表!B104,"")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IF([13]回答表!X44="●","●","")</f>
        <v/>
      </c>
      <c r="O62" s="99"/>
      <c r="P62" s="99"/>
      <c r="Q62" s="100"/>
      <c r="R62" s="38"/>
      <c r="S62" s="38"/>
      <c r="T62" s="38"/>
      <c r="U62" s="107" t="str">
        <f>IF([13]回答表!X44="●",[13]回答表!B115,IF([13]回答表!AA44="●",[13]回答表!B127,""))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IF([13]回答表!X44="●",[13]回答表!S121,IF([13]回答表!AA44="●",[13]回答表!S133,""))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IF([13]回答表!X44="●",[13]回答表!J121,IF([13]回答表!AA44="●",[13]回答表!J133,""))</f>
        <v/>
      </c>
      <c r="AN65" s="120"/>
      <c r="AO65" s="120"/>
      <c r="AP65" s="120"/>
      <c r="AQ65" s="120"/>
      <c r="AR65" s="120"/>
      <c r="AS65" s="120"/>
      <c r="AT65" s="121"/>
      <c r="AU65" s="119" t="str">
        <f>IF([13]回答表!X44="●",[13]回答表!J122,IF([13]回答表!AA44="●",[13]回答表!J134,""))</f>
        <v/>
      </c>
      <c r="AV65" s="120"/>
      <c r="AW65" s="120"/>
      <c r="AX65" s="120"/>
      <c r="AY65" s="120"/>
      <c r="AZ65" s="120"/>
      <c r="BA65" s="120"/>
      <c r="BB65" s="121"/>
      <c r="BC65" s="39"/>
      <c r="BD65" s="34"/>
      <c r="BE65" s="34"/>
      <c r="BF65" s="83" t="str">
        <f>IF([13]回答表!X44="●",[13]回答表!V121,IF([13]回答表!AA44="●",[13]回答表!V133,""))</f>
        <v/>
      </c>
      <c r="BG65" s="84"/>
      <c r="BH65" s="84"/>
      <c r="BI65" s="84"/>
      <c r="BJ65" s="83" t="str">
        <f>IF([13]回答表!X44="●",[13]回答表!V122,IF([13]回答表!AA44="●",[13]回答表!V134,""))</f>
        <v/>
      </c>
      <c r="BK65" s="84"/>
      <c r="BL65" s="84"/>
      <c r="BM65" s="84"/>
      <c r="BN65" s="83" t="str">
        <f>IF([13]回答表!X44="●",[13]回答表!V123,IF([13]回答表!AA44="●",[13]回答表!V135,""))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IF([13]回答表!AD44="●","●","")</f>
        <v/>
      </c>
      <c r="O74" s="99"/>
      <c r="P74" s="99"/>
      <c r="Q74" s="100"/>
      <c r="R74" s="38"/>
      <c r="S74" s="38"/>
      <c r="T74" s="38"/>
      <c r="U74" s="107" t="str">
        <f>IF([13]回答表!AD44="●",[13]回答表!B140,"")</f>
        <v/>
      </c>
      <c r="V74" s="108"/>
      <c r="W74" s="108"/>
      <c r="X74" s="108"/>
      <c r="Y74" s="108"/>
      <c r="Z74" s="108"/>
      <c r="AA74" s="108"/>
      <c r="AB74" s="108"/>
      <c r="AC74" s="108"/>
      <c r="AD74" s="108"/>
      <c r="AE74" s="108"/>
      <c r="AF74" s="108"/>
      <c r="AG74" s="108"/>
      <c r="AH74" s="108"/>
      <c r="AI74" s="108"/>
      <c r="AJ74" s="109"/>
      <c r="AK74" s="55"/>
      <c r="AL74" s="55"/>
      <c r="AM74" s="107" t="str">
        <f>IF([13]回答表!AD44="●",[13]回答表!B146,"")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IF([13]回答表!F17="水道事業",IF([13]回答表!X45="●","●",""),"")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IF([13]回答表!F17="水道事業",IF([13]回答表!X45="●",[13]回答表!B158,IF([13]回答表!AA45="●",[13]回答表!B223,"")),"")</f>
        <v/>
      </c>
      <c r="AN86" s="212"/>
      <c r="AO86" s="212"/>
      <c r="AP86" s="212"/>
      <c r="AQ86" s="212"/>
      <c r="AR86" s="212"/>
      <c r="AS86" s="212"/>
      <c r="AT86" s="212"/>
      <c r="AU86" s="212"/>
      <c r="AV86" s="212"/>
      <c r="AW86" s="212"/>
      <c r="AX86" s="212"/>
      <c r="AY86" s="212"/>
      <c r="AZ86" s="212"/>
      <c r="BA86" s="212"/>
      <c r="BB86" s="212"/>
      <c r="BC86" s="213"/>
      <c r="BD86" s="34"/>
      <c r="BE86" s="34"/>
      <c r="BF86" s="116" t="str">
        <f>IF([13]回答表!F17="水道事業",IF([13]回答表!X45="●",[13]回答表!B212,IF([13]回答表!AA45="●",[13]回答表!B278,"")),"")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IF([13]回答表!F17="水道事業",IF([13]回答表!X45="●",[13]回答表!J166,IF([13]回答表!AA45="●",[13]回答表!J231,"")),"")</f>
        <v/>
      </c>
      <c r="V88" s="120"/>
      <c r="W88" s="120"/>
      <c r="X88" s="120"/>
      <c r="Y88" s="120"/>
      <c r="Z88" s="120"/>
      <c r="AA88" s="120"/>
      <c r="AB88" s="121"/>
      <c r="AC88" s="119" t="str">
        <f>IF([13]回答表!F17="水道事業",IF([13]回答表!X45="●",[13]回答表!J173,IF([13]回答表!AA45="●",[13]回答表!J238,"")),"")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IF([13]回答表!F17="水道事業",IF([13]回答表!X45="●",[13]回答表!E212,IF([13]回答表!AA45="●",[13]回答表!E278,"")),"")</f>
        <v/>
      </c>
      <c r="BG89" s="84"/>
      <c r="BH89" s="84"/>
      <c r="BI89" s="84"/>
      <c r="BJ89" s="83" t="str">
        <f>IF([13]回答表!F17="水道事業",IF([13]回答表!X45="●",[13]回答表!E213,IF([13]回答表!AA45="●",[13]回答表!E279,"")),"")</f>
        <v/>
      </c>
      <c r="BK89" s="84"/>
      <c r="BL89" s="84"/>
      <c r="BM89" s="84"/>
      <c r="BN89" s="83" t="str">
        <f>IF([13]回答表!F17="水道事業",IF([13]回答表!X45="●",[13]回答表!E214,IF([13]回答表!AA45="●",[13]回答表!E280,"")),"")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IF([13]回答表!F17="水道事業",IF([13]回答表!AA45="●","●",""),"")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IF([13]回答表!F17="水道事業",IF([13]回答表!X45="●",[13]回答表!J176,IF([13]回答表!AA45="●",[13]回答表!J241,"")),"")</f>
        <v/>
      </c>
      <c r="V93" s="120"/>
      <c r="W93" s="120"/>
      <c r="X93" s="120"/>
      <c r="Y93" s="120"/>
      <c r="Z93" s="120"/>
      <c r="AA93" s="120"/>
      <c r="AB93" s="121"/>
      <c r="AC93" s="119" t="str">
        <f>IF([13]回答表!F17="水道事業",IF([13]回答表!X45="●",[13]回答表!J180,IF([13]回答表!AA45="●",[13]回答表!J245,"")),"")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24" customHeight="1" x14ac:dyDescent="0.4">
      <c r="C98" s="32"/>
      <c r="D98" s="190" t="s">
        <v>33</v>
      </c>
      <c r="E98" s="190"/>
      <c r="F98" s="190"/>
      <c r="G98" s="190"/>
      <c r="H98" s="190"/>
      <c r="I98" s="190"/>
      <c r="J98" s="190"/>
      <c r="K98" s="190"/>
      <c r="L98" s="190"/>
      <c r="M98" s="191"/>
      <c r="N98" s="98" t="str">
        <f>IF([13]回答表!F17="水道事業",IF([13]回答表!AD45="●","●",""),"")</f>
        <v>●</v>
      </c>
      <c r="O98" s="99"/>
      <c r="P98" s="99"/>
      <c r="Q98" s="100"/>
      <c r="R98" s="38"/>
      <c r="S98" s="38"/>
      <c r="T98" s="38"/>
      <c r="U98" s="107" t="str">
        <f>IF([13]回答表!F17="水道事業",IF([13]回答表!AD45="●",[13]回答表!B289,""),"")</f>
        <v>平成２９年３月３１日に簡易水道を統合した水道事業における他市町村との経営面などソフト部門の統合</v>
      </c>
      <c r="V98" s="108"/>
      <c r="W98" s="108"/>
      <c r="X98" s="108"/>
      <c r="Y98" s="108"/>
      <c r="Z98" s="108"/>
      <c r="AA98" s="108"/>
      <c r="AB98" s="108"/>
      <c r="AC98" s="108"/>
      <c r="AD98" s="108"/>
      <c r="AE98" s="108"/>
      <c r="AF98" s="108"/>
      <c r="AG98" s="108"/>
      <c r="AH98" s="108"/>
      <c r="AI98" s="108"/>
      <c r="AJ98" s="109"/>
      <c r="AK98" s="55"/>
      <c r="AL98" s="55"/>
      <c r="AM98" s="107" t="str">
        <f>IF([13]回答表!F17="水道事業",IF([13]回答表!AD45="●",[13]回答表!B295,""),"")</f>
        <v>県が策定した「秋田県水道ビジョン」を基に検討している。</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24"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24"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24"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IF([13]回答表!F17="簡易水道事業",IF([13]回答表!X45="●",[13]回答表!B158,IF([13]回答表!AA45="●",[13]回答表!B223,"")),"")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IF([13]回答表!F17="簡易水道事業",IF([13]回答表!X45="●",[13]回答表!B212,IF([13]回答表!AA45="●",[13]回答表!B278,"")),"")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IF([13]回答表!F17="簡易水道事業",IF([13]回答表!X45="●","●",""),"")</f>
        <v/>
      </c>
      <c r="O112" s="99"/>
      <c r="P112" s="99"/>
      <c r="Q112" s="100"/>
      <c r="R112" s="38"/>
      <c r="S112" s="38"/>
      <c r="T112" s="38"/>
      <c r="U112" s="119" t="str">
        <f>IF([13]回答表!F17="簡易水道事業",IF([13]回答表!X45="●",[13]回答表!Y185,IF([13]回答表!AA45="●",[13]回答表!Y251,"")),"")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IF([13]回答表!F17="簡易水道事業",IF([13]回答表!X45="●",[13]回答表!E212,IF([13]回答表!AA45="●",[13]回答表!E278,"")),"")</f>
        <v/>
      </c>
      <c r="BG113" s="84"/>
      <c r="BH113" s="84"/>
      <c r="BI113" s="84"/>
      <c r="BJ113" s="83" t="str">
        <f>IF([13]回答表!F17="簡易水道事業",IF([13]回答表!X45="●",[13]回答表!E213,IF([13]回答表!AA45="●",[13]回答表!E279,"")),"")</f>
        <v/>
      </c>
      <c r="BK113" s="84"/>
      <c r="BL113" s="84"/>
      <c r="BM113" s="84"/>
      <c r="BN113" s="83" t="str">
        <f>IF([13]回答表!F17="簡易水道事業",IF([13]回答表!X45="●",[13]回答表!E214,IF([13]回答表!AA45="●",[13]回答表!E280,"")),"")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IF([13]回答表!F17="簡易水道事業",IF([13]回答表!X45="●",[13]回答表!Y186,IF([13]回答表!AA45="●",[13]回答表!Y252,"")),"")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IF([13]回答表!F17="簡易水道事業",IF([13]回答表!AA45="●","●",""),"")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IF([13]回答表!F17="簡易水道事業",IF([13]回答表!X45="●",[13]回答表!Y187,IF([13]回答表!AA45="●",[13]回答表!Y253,"")),"")</f>
        <v/>
      </c>
      <c r="V122" s="120"/>
      <c r="W122" s="120"/>
      <c r="X122" s="120"/>
      <c r="Y122" s="120"/>
      <c r="Z122" s="120"/>
      <c r="AA122" s="120"/>
      <c r="AB122" s="120"/>
      <c r="AC122" s="120"/>
      <c r="AD122" s="120"/>
      <c r="AE122" s="120"/>
      <c r="AF122" s="120"/>
      <c r="AG122" s="120"/>
      <c r="AH122" s="120"/>
      <c r="AI122" s="120"/>
      <c r="AJ122" s="121"/>
      <c r="AK122" s="18"/>
      <c r="AL122" s="18"/>
      <c r="AM122" s="228" t="str">
        <f>IF([13]回答表!F17="簡易水道事業",IF([13]回答表!X45="●",[13]回答表!Y189,IF([13]回答表!AA45="●",[13]回答表!Y255,"")),"")</f>
        <v/>
      </c>
      <c r="AN122" s="228"/>
      <c r="AO122" s="228"/>
      <c r="AP122" s="228"/>
      <c r="AQ122" s="228"/>
      <c r="AR122" s="228"/>
      <c r="AS122" s="228" t="str">
        <f>IF([13]回答表!F17="簡易水道事業",IF([13]回答表!X45="●",[13]回答表!Y190,IF([13]回答表!AA45="●",[13]回答表!Y256,"")),"")</f>
        <v/>
      </c>
      <c r="AT122" s="228"/>
      <c r="AU122" s="228"/>
      <c r="AV122" s="228"/>
      <c r="AW122" s="228"/>
      <c r="AX122" s="228"/>
      <c r="AY122" s="228" t="str">
        <f>IF([13]回答表!F17="簡易水道事業",IF([13]回答表!X45="●",[13]回答表!Y191,IF([13]回答表!AA45="●",[13]回答表!Y257,"")),"")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IF([13]回答表!F17="簡易水道事業",IF([13]回答表!AD45="●","●",""),"")</f>
        <v/>
      </c>
      <c r="O127" s="99"/>
      <c r="P127" s="99"/>
      <c r="Q127" s="100"/>
      <c r="R127" s="38"/>
      <c r="S127" s="38"/>
      <c r="T127" s="38"/>
      <c r="U127" s="107" t="str">
        <f>IF([13]回答表!F17="簡易水道事業",IF([13]回答表!AD45="●",[13]回答表!B289,""),"")</f>
        <v/>
      </c>
      <c r="V127" s="108"/>
      <c r="W127" s="108"/>
      <c r="X127" s="108"/>
      <c r="Y127" s="108"/>
      <c r="Z127" s="108"/>
      <c r="AA127" s="108"/>
      <c r="AB127" s="108"/>
      <c r="AC127" s="108"/>
      <c r="AD127" s="108"/>
      <c r="AE127" s="108"/>
      <c r="AF127" s="108"/>
      <c r="AG127" s="108"/>
      <c r="AH127" s="108"/>
      <c r="AI127" s="108"/>
      <c r="AJ127" s="109"/>
      <c r="AK127" s="55"/>
      <c r="AL127" s="55"/>
      <c r="AM127" s="107" t="str">
        <f>IF([13]回答表!F17="簡易水道事業",IF([13]回答表!AD45="●",[13]回答表!B295,""),"")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IF([13]回答表!F17="下水道事業",IF([13]回答表!X45="●","●",""),"")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IF([13]回答表!F17="下水道事業",IF([13]回答表!X45="●",[13]回答表!B158,IF([13]回答表!AA45="●",[13]回答表!B223,"")),"")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IF([13]回答表!F17="下水道事業",IF([13]回答表!X45="●",[13]回答表!B212,IF([13]回答表!AA45="●",[13]回答表!B278,"")),"")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IF([13]回答表!F17="下水道事業",IF([13]回答表!X45="●",[13]回答表!Y193,IF([13]回答表!AA45="●",[13]回答表!Y259,"")),"")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IF([13]回答表!F17="下水道事業",IF([13]回答表!X45="●",[13]回答表!E212,IF([13]回答表!AA45="●",[13]回答表!E278,"")),"")</f>
        <v/>
      </c>
      <c r="BG142" s="84"/>
      <c r="BH142" s="84"/>
      <c r="BI142" s="84"/>
      <c r="BJ142" s="83" t="str">
        <f>IF([13]回答表!F17="下水道事業",IF([13]回答表!X45="●",[13]回答表!E213,IF([13]回答表!AA45="●",[13]回答表!E279,"")),"")</f>
        <v/>
      </c>
      <c r="BK142" s="84"/>
      <c r="BL142" s="84"/>
      <c r="BM142" s="84"/>
      <c r="BN142" s="83" t="str">
        <f>IF([13]回答表!F17="下水道事業",IF([13]回答表!X45="●",[13]回答表!E214,IF([13]回答表!AA45="●",[13]回答表!E280,"")),"")</f>
        <v/>
      </c>
      <c r="BO142" s="84"/>
      <c r="BP142" s="84"/>
      <c r="BQ142" s="87"/>
      <c r="BR142" s="37"/>
      <c r="BX142" s="211" t="str">
        <f>IF([13]回答表!AQ20="下水道事業",IF([13]回答表!BI48="○",[13]回答表!AM161,IF([13]回答表!BL48="○",[13]回答表!AM226,"")),"")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IF([13]回答表!F17="下水道事業",IF([13]回答表!X45="●",[13]回答表!Y195,IF([13]回答表!AA45="●",[13]回答表!Y261,"")),"")</f>
        <v/>
      </c>
      <c r="V147" s="120"/>
      <c r="W147" s="120"/>
      <c r="X147" s="120"/>
      <c r="Y147" s="120"/>
      <c r="Z147" s="120"/>
      <c r="AA147" s="120"/>
      <c r="AB147" s="121"/>
      <c r="AC147" s="119" t="str">
        <f>IF([13]回答表!F17="下水道事業",IF([13]回答表!X45="●",[13]回答表!Y196,IF([13]回答表!AA45="●",[13]回答表!Y262,"")),"")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IF([13]回答表!F17="下水道事業",IF([13]回答表!X45="●",[13]回答表!Y198,IF([13]回答表!AA45="●",[13]回答表!Y264,"")),"")</f>
        <v/>
      </c>
      <c r="V153" s="120"/>
      <c r="W153" s="120"/>
      <c r="X153" s="120"/>
      <c r="Y153" s="120"/>
      <c r="Z153" s="120"/>
      <c r="AA153" s="120"/>
      <c r="AB153" s="121"/>
      <c r="AC153" s="119" t="str">
        <f>IF([13]回答表!F17="下水道事業",IF([13]回答表!X45="●",[13]回答表!Y199,IF([13]回答表!AA45="●",[13]回答表!Y265,"")),"")</f>
        <v/>
      </c>
      <c r="AD153" s="120"/>
      <c r="AE153" s="120"/>
      <c r="AF153" s="120"/>
      <c r="AG153" s="120"/>
      <c r="AH153" s="120"/>
      <c r="AI153" s="120"/>
      <c r="AJ153" s="121"/>
      <c r="AK153" s="119" t="str">
        <f>IF([13]回答表!F17="下水道事業",IF([13]回答表!X45="●",[13]回答表!Y200,IF([13]回答表!AA45="●",[13]回答表!Y266,"")),"")</f>
        <v/>
      </c>
      <c r="AL153" s="120"/>
      <c r="AM153" s="120"/>
      <c r="AN153" s="120"/>
      <c r="AO153" s="120"/>
      <c r="AP153" s="120"/>
      <c r="AQ153" s="120"/>
      <c r="AR153" s="121"/>
      <c r="AS153" s="119" t="str">
        <f>IF([13]回答表!F17="下水道事業",IF([13]回答表!X45="●",[13]回答表!Y201,IF([13]回答表!AA45="●",[13]回答表!Y267,"")),"")</f>
        <v/>
      </c>
      <c r="AT153" s="120"/>
      <c r="AU153" s="120"/>
      <c r="AV153" s="120"/>
      <c r="AW153" s="120"/>
      <c r="AX153" s="120"/>
      <c r="AY153" s="120"/>
      <c r="AZ153" s="121"/>
      <c r="BA153" s="119" t="str">
        <f>IF([13]回答表!F17="下水道事業",IF([13]回答表!X45="●",[13]回答表!Y202,IF([13]回答表!AA45="●",[13]回答表!Y268,"")),"")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IF([13]回答表!F17="下水道事業",IF([13]回答表!AA45="●","●",""),"")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IF([13]回答表!F17="下水道事業",IF([13]回答表!X45="●",[13]回答表!Y207,IF([13]回答表!AA45="●",[13]回答表!Y273,"")),"")</f>
        <v/>
      </c>
      <c r="V159" s="120"/>
      <c r="W159" s="120"/>
      <c r="X159" s="120"/>
      <c r="Y159" s="120"/>
      <c r="Z159" s="120"/>
      <c r="AA159" s="120"/>
      <c r="AB159" s="121"/>
      <c r="AC159" s="119" t="str">
        <f>IF([13]回答表!F17="下水道事業",IF([13]回答表!X45="●",[13]回答表!Y208,IF([13]回答表!AA45="●",[13]回答表!Y274,"")),"")</f>
        <v/>
      </c>
      <c r="AD159" s="120"/>
      <c r="AE159" s="120"/>
      <c r="AF159" s="120"/>
      <c r="AG159" s="120"/>
      <c r="AH159" s="120"/>
      <c r="AI159" s="120"/>
      <c r="AJ159" s="121"/>
      <c r="AK159" s="119" t="str">
        <f>IF([13]回答表!F17="下水道事業",IF([13]回答表!X45="●",[13]回答表!Y209,IF([13]回答表!AA45="●",[13]回答表!Y275,"")),"")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IF([13]回答表!F17="下水道事業",IF([13]回答表!AD45="●","●",""),"")</f>
        <v/>
      </c>
      <c r="O164" s="99"/>
      <c r="P164" s="99"/>
      <c r="Q164" s="100"/>
      <c r="R164" s="38"/>
      <c r="S164" s="38"/>
      <c r="T164" s="38"/>
      <c r="U164" s="107" t="str">
        <f>IF([13]回答表!F17="下水道事業",IF([13]回答表!AD45="●",[13]回答表!B289,""),"")</f>
        <v/>
      </c>
      <c r="V164" s="108"/>
      <c r="W164" s="108"/>
      <c r="X164" s="108"/>
      <c r="Y164" s="108"/>
      <c r="Z164" s="108"/>
      <c r="AA164" s="108"/>
      <c r="AB164" s="108"/>
      <c r="AC164" s="108"/>
      <c r="AD164" s="108"/>
      <c r="AE164" s="108"/>
      <c r="AF164" s="108"/>
      <c r="AG164" s="108"/>
      <c r="AH164" s="108"/>
      <c r="AI164" s="108"/>
      <c r="AJ164" s="109"/>
      <c r="AK164" s="55"/>
      <c r="AL164" s="55"/>
      <c r="AM164" s="107" t="str">
        <f>IF([13]回答表!F17="下水道事業",IF([13]回答表!AD45="●",[13]回答表!B295,""),"")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IF([13]回答表!BD17="●",IF([13]回答表!X45="●","●",""),"")</f>
        <v/>
      </c>
      <c r="O176" s="99"/>
      <c r="P176" s="99"/>
      <c r="Q176" s="100"/>
      <c r="R176" s="38"/>
      <c r="S176" s="38"/>
      <c r="T176" s="38"/>
      <c r="U176" s="107" t="str">
        <f>IF([13]回答表!BD17="●",IF([13]回答表!X45="●",[13]回答表!B158,IF([13]回答表!AA45="●",[13]回答表!B223,"")),"")</f>
        <v/>
      </c>
      <c r="V176" s="108"/>
      <c r="W176" s="108"/>
      <c r="X176" s="108"/>
      <c r="Y176" s="108"/>
      <c r="Z176" s="108"/>
      <c r="AA176" s="108"/>
      <c r="AB176" s="108"/>
      <c r="AC176" s="108"/>
      <c r="AD176" s="108"/>
      <c r="AE176" s="108"/>
      <c r="AF176" s="108"/>
      <c r="AG176" s="108"/>
      <c r="AH176" s="108"/>
      <c r="AI176" s="108"/>
      <c r="AJ176" s="109"/>
      <c r="AK176" s="49"/>
      <c r="AL176" s="49"/>
      <c r="AM176" s="116" t="str">
        <f>IF([13]回答表!BD17="●",IF([13]回答表!X45="●",[13]回答表!B212,IF([13]回答表!AA45="●",[13]回答表!B278,"")),"")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IF([13]回答表!BD17="●",IF([13]回答表!X45="●",[13]回答表!E212,IF([13]回答表!AA45="●",[13]回答表!E278,"")),"")</f>
        <v/>
      </c>
      <c r="AN179" s="84"/>
      <c r="AO179" s="84"/>
      <c r="AP179" s="84"/>
      <c r="AQ179" s="83" t="str">
        <f>IF([13]回答表!BD17="●",IF([13]回答表!X45="●",[13]回答表!E213,IF([13]回答表!AA45="●",[13]回答表!E279,"")),"")</f>
        <v/>
      </c>
      <c r="AR179" s="84"/>
      <c r="AS179" s="84"/>
      <c r="AT179" s="84"/>
      <c r="AU179" s="83" t="str">
        <f>IF([13]回答表!BD17="●",IF([13]回答表!X45="●",[13]回答表!E214,IF([13]回答表!AA45="●",[13]回答表!E280,"")),"")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IF([13]回答表!BD17="●",IF([13]回答表!AA45="●","●",""),"")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IF([13]回答表!BD17="●",IF([13]回答表!AD45="●","●",""),"")</f>
        <v/>
      </c>
      <c r="O188" s="99"/>
      <c r="P188" s="99"/>
      <c r="Q188" s="100"/>
      <c r="R188" s="38"/>
      <c r="S188" s="38"/>
      <c r="T188" s="38"/>
      <c r="U188" s="107" t="str">
        <f>IF([13]回答表!BD17="●",IF([13]回答表!AD45="●",[13]回答表!B289,""),"")</f>
        <v/>
      </c>
      <c r="V188" s="108"/>
      <c r="W188" s="108"/>
      <c r="X188" s="108"/>
      <c r="Y188" s="108"/>
      <c r="Z188" s="108"/>
      <c r="AA188" s="108"/>
      <c r="AB188" s="108"/>
      <c r="AC188" s="108"/>
      <c r="AD188" s="108"/>
      <c r="AE188" s="108"/>
      <c r="AF188" s="108"/>
      <c r="AG188" s="108"/>
      <c r="AH188" s="108"/>
      <c r="AI188" s="108"/>
      <c r="AJ188" s="109"/>
      <c r="AK188" s="55"/>
      <c r="AL188" s="55"/>
      <c r="AM188" s="107" t="str">
        <f>IF([13]回答表!BD17="●",IF([13]回答表!AD45="●",[13]回答表!B295,""),"")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IF([13]回答表!X46="●","●","")</f>
        <v/>
      </c>
      <c r="O200" s="99"/>
      <c r="P200" s="99"/>
      <c r="Q200" s="100"/>
      <c r="R200" s="38"/>
      <c r="S200" s="38"/>
      <c r="T200" s="38"/>
      <c r="U200" s="107" t="str">
        <f>IF([13]回答表!X46="●",[13]回答表!B307,IF([13]回答表!AA46="●",[13]回答表!B324,""))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IF([13]回答表!X46="●",[13]回答表!U313,IF([13]回答表!AA46="●",[13]回答表!U330,""))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IF([13]回答表!X46="●",[13]回答表!G313,IF([13]回答表!AA46="●",[13]回答表!G330,""))</f>
        <v/>
      </c>
      <c r="AN203" s="120"/>
      <c r="AO203" s="120"/>
      <c r="AP203" s="120"/>
      <c r="AQ203" s="120"/>
      <c r="AR203" s="120"/>
      <c r="AS203" s="120"/>
      <c r="AT203" s="121"/>
      <c r="AU203" s="119" t="str">
        <f>IF([13]回答表!X46="●",[13]回答表!G314,IF([13]回答表!AA46="●",[13]回答表!G331,""))</f>
        <v/>
      </c>
      <c r="AV203" s="120"/>
      <c r="AW203" s="120"/>
      <c r="AX203" s="120"/>
      <c r="AY203" s="120"/>
      <c r="AZ203" s="120"/>
      <c r="BA203" s="120"/>
      <c r="BB203" s="121"/>
      <c r="BC203" s="39"/>
      <c r="BD203" s="34"/>
      <c r="BE203" s="34"/>
      <c r="BF203" s="83" t="str">
        <f>IF([13]回答表!X46="●",[13]回答表!X313,IF([13]回答表!AA46="●",[13]回答表!X330,""))</f>
        <v/>
      </c>
      <c r="BG203" s="84"/>
      <c r="BH203" s="84"/>
      <c r="BI203" s="84"/>
      <c r="BJ203" s="83" t="str">
        <f>IF([13]回答表!X46="●",[13]回答表!X314,IF([13]回答表!AA46="●",[13]回答表!X331,""))</f>
        <v/>
      </c>
      <c r="BK203" s="84"/>
      <c r="BL203" s="84"/>
      <c r="BM203" s="87"/>
      <c r="BN203" s="83" t="str">
        <f>IF([13]回答表!X46="●",[13]回答表!X315,IF([13]回答表!AA46="●",[13]回答表!X332,""))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IF([13]回答表!AD46="●","●","")</f>
        <v/>
      </c>
      <c r="O212" s="99"/>
      <c r="P212" s="99"/>
      <c r="Q212" s="100"/>
      <c r="R212" s="38"/>
      <c r="S212" s="38"/>
      <c r="T212" s="38"/>
      <c r="U212" s="107" t="str">
        <f>IF([13]回答表!AD46="●",[13]回答表!B337,"")</f>
        <v/>
      </c>
      <c r="V212" s="108"/>
      <c r="W212" s="108"/>
      <c r="X212" s="108"/>
      <c r="Y212" s="108"/>
      <c r="Z212" s="108"/>
      <c r="AA212" s="108"/>
      <c r="AB212" s="108"/>
      <c r="AC212" s="108"/>
      <c r="AD212" s="108"/>
      <c r="AE212" s="108"/>
      <c r="AF212" s="108"/>
      <c r="AG212" s="108"/>
      <c r="AH212" s="108"/>
      <c r="AI212" s="108"/>
      <c r="AJ212" s="109"/>
      <c r="AK212" s="62"/>
      <c r="AL212" s="62"/>
      <c r="AM212" s="107" t="str">
        <f>IF([13]回答表!AD46="●",[13]回答表!B343,"")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IF([13]回答表!X47="●","●","")</f>
        <v/>
      </c>
      <c r="O224" s="99"/>
      <c r="P224" s="99"/>
      <c r="Q224" s="100"/>
      <c r="R224" s="38"/>
      <c r="S224" s="38"/>
      <c r="T224" s="38"/>
      <c r="U224" s="107" t="str">
        <f>IF([13]回答表!X47="●",[13]回答表!B356,IF([13]回答表!AA47="●",[13]回答表!B379,""))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IF([13]回答表!X47="●",[13]回答表!B362,"")</f>
        <v/>
      </c>
      <c r="AO224" s="182"/>
      <c r="AP224" s="182"/>
      <c r="AQ224" s="182"/>
      <c r="AR224" s="182"/>
      <c r="AS224" s="182"/>
      <c r="AT224" s="182"/>
      <c r="AU224" s="182"/>
      <c r="AV224" s="182"/>
      <c r="AW224" s="182"/>
      <c r="AX224" s="182"/>
      <c r="AY224" s="182"/>
      <c r="AZ224" s="182"/>
      <c r="BA224" s="182"/>
      <c r="BB224" s="183"/>
      <c r="BC224" s="39"/>
      <c r="BD224" s="34"/>
      <c r="BE224" s="34"/>
      <c r="BF224" s="116" t="str">
        <f>IF([13]回答表!X47="●",[13]回答表!B368,IF([13]回答表!AA47="●",[13]回答表!B385,""))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IF([13]回答表!X47="●",[13]回答表!E368,IF([13]回答表!AA47="●",[13]回答表!E385,""))</f>
        <v/>
      </c>
      <c r="BG227" s="84"/>
      <c r="BH227" s="84"/>
      <c r="BI227" s="84"/>
      <c r="BJ227" s="83" t="str">
        <f>IF([13]回答表!X47="●",[13]回答表!E369,IF([13]回答表!AA47="●",[13]回答表!E386,""))</f>
        <v/>
      </c>
      <c r="BK227" s="84"/>
      <c r="BL227" s="84"/>
      <c r="BM227" s="87"/>
      <c r="BN227" s="83" t="str">
        <f>IF([13]回答表!X47="●",[13]回答表!E370,IF([13]回答表!AA47="●",[13]回答表!E387,""))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IF([13]回答表!AD47="●","●","")</f>
        <v>●</v>
      </c>
      <c r="O236" s="99"/>
      <c r="P236" s="99"/>
      <c r="Q236" s="100"/>
      <c r="R236" s="38"/>
      <c r="S236" s="38"/>
      <c r="T236" s="38"/>
      <c r="U236" s="107" t="str">
        <f>IF([13]回答表!AD47="●",[13]回答表!B392,"")</f>
        <v>料金等徴収業務</v>
      </c>
      <c r="V236" s="108"/>
      <c r="W236" s="108"/>
      <c r="X236" s="108"/>
      <c r="Y236" s="108"/>
      <c r="Z236" s="108"/>
      <c r="AA236" s="108"/>
      <c r="AB236" s="108"/>
      <c r="AC236" s="108"/>
      <c r="AD236" s="108"/>
      <c r="AE236" s="108"/>
      <c r="AF236" s="108"/>
      <c r="AG236" s="108"/>
      <c r="AH236" s="108"/>
      <c r="AI236" s="108"/>
      <c r="AJ236" s="109"/>
      <c r="AK236" s="62"/>
      <c r="AL236" s="62"/>
      <c r="AM236" s="107" t="str">
        <f>IF([13]回答表!AD47="●",[13]回答表!B398,"")</f>
        <v>徴収料金の適正な管理や会計システムとの連携</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IF([13]回答表!X48="●","●","")</f>
        <v/>
      </c>
      <c r="O248" s="99"/>
      <c r="P248" s="99"/>
      <c r="Q248" s="100"/>
      <c r="R248" s="38"/>
      <c r="S248" s="38"/>
      <c r="T248" s="38"/>
      <c r="U248" s="107" t="str">
        <f>IF([13]回答表!X48="●",[13]回答表!B411,IF([13]回答表!AA48="●",[13]回答表!B425,""))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IF([13]回答表!X48="●",[13]回答表!BC418,IF([13]回答表!AA48="●",[13]回答表!BC432,""))</f>
        <v/>
      </c>
      <c r="AR248" s="151"/>
      <c r="AS248" s="151"/>
      <c r="AT248" s="151"/>
      <c r="AU248" s="173" t="s">
        <v>73</v>
      </c>
      <c r="AV248" s="174"/>
      <c r="AW248" s="174"/>
      <c r="AX248" s="175"/>
      <c r="AY248" s="151" t="str">
        <f>IF([13]回答表!X48="●",[13]回答表!BC423,IF([13]回答表!AA48="●",[13]回答表!BC437,""))</f>
        <v/>
      </c>
      <c r="AZ248" s="151"/>
      <c r="BA248" s="151"/>
      <c r="BB248" s="151"/>
      <c r="BC248" s="39"/>
      <c r="BD248" s="34"/>
      <c r="BE248" s="34"/>
      <c r="BF248" s="116" t="str">
        <f>IF([13]回答表!X48="●",[13]回答表!S417,IF([13]回答表!AA48="●",[13]回答表!S431,""))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IF([13]回答表!X48="●",[13]回答表!BC419,IF([13]回答表!AA48="●",[13]回答表!BC433,""))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IF([13]回答表!X48="●",[13]回答表!V417,IF([13]回答表!AA48="●",[13]回答表!V431,""))</f>
        <v/>
      </c>
      <c r="BG251" s="84"/>
      <c r="BH251" s="84"/>
      <c r="BI251" s="84"/>
      <c r="BJ251" s="83" t="str">
        <f>IF([13]回答表!X48="●",[13]回答表!V418,IF([13]回答表!AA48="●",[13]回答表!V432,""))</f>
        <v/>
      </c>
      <c r="BK251" s="84"/>
      <c r="BL251" s="84"/>
      <c r="BM251" s="87"/>
      <c r="BN251" s="83" t="str">
        <f>IF([13]回答表!X48="●",[13]回答表!V419,IF([13]回答表!AA48="●",[13]回答表!V433,""))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IF([13]回答表!X48="●",[13]回答表!BC420,IF([13]回答表!AA48="●",[13]回答表!BC434,""))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IF([13]回答表!X48="●",[13]回答表!BC424,IF([13]回答表!AA48="●",[13]回答表!BC438,""))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IF([13]回答表!X48="●",[13]回答表!BC421,IF([13]回答表!AA48="●",[13]回答表!BC435,""))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IF([13]回答表!X48="●",[13]回答表!BC422,IF([13]回答表!AA48="●",[13]回答表!BC436,""))</f>
        <v/>
      </c>
      <c r="AR256" s="151"/>
      <c r="AS256" s="151"/>
      <c r="AT256" s="151"/>
      <c r="AU256" s="152" t="s">
        <v>79</v>
      </c>
      <c r="AV256" s="153"/>
      <c r="AW256" s="153"/>
      <c r="AX256" s="154"/>
      <c r="AY256" s="158" t="str">
        <f>IF([13]回答表!X48="●",[13]回答表!BC425,IF([13]回答表!AA48="●",[13]回答表!BC439,""))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24" customHeight="1" x14ac:dyDescent="0.4">
      <c r="A260" s="24"/>
      <c r="B260" s="24"/>
      <c r="C260" s="32"/>
      <c r="D260" s="89" t="s">
        <v>33</v>
      </c>
      <c r="E260" s="90"/>
      <c r="F260" s="90"/>
      <c r="G260" s="90"/>
      <c r="H260" s="90"/>
      <c r="I260" s="90"/>
      <c r="J260" s="90"/>
      <c r="K260" s="90"/>
      <c r="L260" s="90"/>
      <c r="M260" s="91"/>
      <c r="N260" s="98" t="str">
        <f>IF([13]回答表!AD48="●","●","")</f>
        <v>●</v>
      </c>
      <c r="O260" s="99"/>
      <c r="P260" s="99"/>
      <c r="Q260" s="100"/>
      <c r="R260" s="38"/>
      <c r="S260" s="38"/>
      <c r="T260" s="38"/>
      <c r="U260" s="107" t="str">
        <f>IF([13]回答表!AD48="●",[13]回答表!B439,"")</f>
        <v>コンセッション方式の導入</v>
      </c>
      <c r="V260" s="108"/>
      <c r="W260" s="108"/>
      <c r="X260" s="108"/>
      <c r="Y260" s="108"/>
      <c r="Z260" s="108"/>
      <c r="AA260" s="108"/>
      <c r="AB260" s="108"/>
      <c r="AC260" s="108"/>
      <c r="AD260" s="108"/>
      <c r="AE260" s="108"/>
      <c r="AF260" s="108"/>
      <c r="AG260" s="108"/>
      <c r="AH260" s="108"/>
      <c r="AI260" s="108"/>
      <c r="AJ260" s="109"/>
      <c r="AK260" s="55"/>
      <c r="AL260" s="55"/>
      <c r="AM260" s="107" t="str">
        <f>IF([13]回答表!AD48="●",[13]回答表!B445,"")</f>
        <v>研修会に参加するなど情報収集に努めているが、デメリットなど水道事業の不利益が生じないかを含めて慎重に検討している。</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24"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24"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24"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IF([13]回答表!X49="●","●","")</f>
        <v/>
      </c>
      <c r="O271" s="99"/>
      <c r="P271" s="99"/>
      <c r="Q271" s="100"/>
      <c r="R271" s="38"/>
      <c r="S271" s="38"/>
      <c r="T271" s="38"/>
      <c r="U271" s="107" t="str">
        <f>IF([13]回答表!X49="●",[13]回答表!B458,IF([13]回答表!AA49="●",[13]回答表!B475,""))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IF([13]回答表!X49="●",[13]回答表!B468,IF([13]回答表!AA49="●",[13]回答表!B485,""))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IF([13]回答表!X49="●",[13]回答表!G464,IF([13]回答表!AA49="●",[13]回答表!G481,""))</f>
        <v/>
      </c>
      <c r="AN273" s="120"/>
      <c r="AO273" s="120"/>
      <c r="AP273" s="120"/>
      <c r="AQ273" s="120"/>
      <c r="AR273" s="120"/>
      <c r="AS273" s="120"/>
      <c r="AT273" s="121"/>
      <c r="AU273" s="119" t="str">
        <f>IF([13]回答表!X49="●",[13]回答表!G465,IF([13]回答表!AA49="●",[13]回答表!G482,""))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IF([13]回答表!X49="●",[13]回答表!E468,IF([13]回答表!AA49="●",[13]回答表!E485,""))</f>
        <v/>
      </c>
      <c r="BG274" s="84"/>
      <c r="BH274" s="84"/>
      <c r="BI274" s="84"/>
      <c r="BJ274" s="83" t="str">
        <f>IF([13]回答表!X49="●",[13]回答表!E469,IF([13]回答表!AA49="●",[13]回答表!E486,""))</f>
        <v/>
      </c>
      <c r="BK274" s="84"/>
      <c r="BL274" s="84"/>
      <c r="BM274" s="87"/>
      <c r="BN274" s="83" t="str">
        <f>IF([13]回答表!X49="●",[13]回答表!E470,IF([13]回答表!AA49="●",[13]回答表!E487,""))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IF([13]回答表!AD49="●","●","")</f>
        <v/>
      </c>
      <c r="O283" s="99"/>
      <c r="P283" s="99"/>
      <c r="Q283" s="100"/>
      <c r="R283" s="38"/>
      <c r="S283" s="38"/>
      <c r="T283" s="38"/>
      <c r="U283" s="107" t="str">
        <f>IF([13]回答表!AD49="●",[13]回答表!B492,"")</f>
        <v/>
      </c>
      <c r="V283" s="108"/>
      <c r="W283" s="108"/>
      <c r="X283" s="108"/>
      <c r="Y283" s="108"/>
      <c r="Z283" s="108"/>
      <c r="AA283" s="108"/>
      <c r="AB283" s="108"/>
      <c r="AC283" s="108"/>
      <c r="AD283" s="108"/>
      <c r="AE283" s="108"/>
      <c r="AF283" s="108"/>
      <c r="AG283" s="108"/>
      <c r="AH283" s="108"/>
      <c r="AI283" s="108"/>
      <c r="AJ283" s="109"/>
      <c r="AK283" s="49"/>
      <c r="AL283" s="49"/>
      <c r="AM283" s="107" t="str">
        <f>IF([13]回答表!AD49="●",[13]回答表!B498,"")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IF([13]回答表!R50="●",[13]回答表!B511,"")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E587-990F-453B-A3E6-3B1812B3B959}">
  <sheetPr>
    <pageSetUpPr fitToPage="1"/>
  </sheetPr>
  <dimension ref="A1:CN315"/>
  <sheetViews>
    <sheetView showZeros="0" view="pageBreakPreview" zoomScale="60" zoomScaleNormal="55" workbookViewId="0">
      <selection activeCell="U74" sqref="U74:AJ7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IF(COUNTIF([5]回答表!K15,"*")&gt;0,[5]回答表!K15,"")</f>
        <v>大館市</v>
      </c>
      <c r="D11" s="299"/>
      <c r="E11" s="299"/>
      <c r="F11" s="299"/>
      <c r="G11" s="299"/>
      <c r="H11" s="299"/>
      <c r="I11" s="299"/>
      <c r="J11" s="299"/>
      <c r="K11" s="299"/>
      <c r="L11" s="299"/>
      <c r="M11" s="299"/>
      <c r="N11" s="299"/>
      <c r="O11" s="299"/>
      <c r="P11" s="299"/>
      <c r="Q11" s="299"/>
      <c r="R11" s="299"/>
      <c r="S11" s="299"/>
      <c r="T11" s="299"/>
      <c r="U11" s="306" t="str">
        <f>IF(COUNTIF([5]回答表!F17,"*")&gt;0,[5]回答表!F17,"")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IF(COUNTIF([5]回答表!W17,"*")&gt;0,[5]回答表!W17,"")</f>
        <v>指定介護老人福祉施設</v>
      </c>
      <c r="AP11" s="301"/>
      <c r="AQ11" s="301"/>
      <c r="AR11" s="301"/>
      <c r="AS11" s="301"/>
      <c r="AT11" s="301"/>
      <c r="AU11" s="301"/>
      <c r="AV11" s="301"/>
      <c r="AW11" s="301"/>
      <c r="AX11" s="301"/>
      <c r="AY11" s="301"/>
      <c r="AZ11" s="301"/>
      <c r="BA11" s="301"/>
      <c r="BB11" s="301"/>
      <c r="BC11" s="301"/>
      <c r="BD11" s="301"/>
      <c r="BE11" s="301"/>
      <c r="BF11" s="302"/>
      <c r="BG11" s="305" t="str">
        <f>IF(COUNTIF([5]回答表!F19,"*")&gt;0,[5]回答表!F19,"")</f>
        <v>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IF([5]回答表!R43="●","●","")</f>
        <v/>
      </c>
      <c r="E24" s="123"/>
      <c r="F24" s="123"/>
      <c r="G24" s="123"/>
      <c r="H24" s="123"/>
      <c r="I24" s="123"/>
      <c r="J24" s="124"/>
      <c r="K24" s="122" t="str">
        <f>IF([5]回答表!R44="●","●","")</f>
        <v>●</v>
      </c>
      <c r="L24" s="123"/>
      <c r="M24" s="123"/>
      <c r="N24" s="123"/>
      <c r="O24" s="123"/>
      <c r="P24" s="123"/>
      <c r="Q24" s="124"/>
      <c r="R24" s="122" t="str">
        <f>IF([5]回答表!R45="●","●","")</f>
        <v/>
      </c>
      <c r="S24" s="123"/>
      <c r="T24" s="123"/>
      <c r="U24" s="123"/>
      <c r="V24" s="123"/>
      <c r="W24" s="123"/>
      <c r="X24" s="124"/>
      <c r="Y24" s="122" t="str">
        <f>IF([5]回答表!R46="●","●","")</f>
        <v>●</v>
      </c>
      <c r="Z24" s="123"/>
      <c r="AA24" s="123"/>
      <c r="AB24" s="123"/>
      <c r="AC24" s="123"/>
      <c r="AD24" s="123"/>
      <c r="AE24" s="124"/>
      <c r="AF24" s="122" t="str">
        <f>IF([5]回答表!R47="●","●","")</f>
        <v/>
      </c>
      <c r="AG24" s="123"/>
      <c r="AH24" s="123"/>
      <c r="AI24" s="123"/>
      <c r="AJ24" s="123"/>
      <c r="AK24" s="123"/>
      <c r="AL24" s="124"/>
      <c r="AM24" s="122" t="str">
        <f>IF([5]回答表!R48="●","●","")</f>
        <v/>
      </c>
      <c r="AN24" s="123"/>
      <c r="AO24" s="123"/>
      <c r="AP24" s="123"/>
      <c r="AQ24" s="123"/>
      <c r="AR24" s="123"/>
      <c r="AS24" s="124"/>
      <c r="AT24" s="122" t="str">
        <f>IF([5]回答表!R49="●","●","")</f>
        <v/>
      </c>
      <c r="AU24" s="123"/>
      <c r="AV24" s="123"/>
      <c r="AW24" s="123"/>
      <c r="AX24" s="123"/>
      <c r="AY24" s="123"/>
      <c r="AZ24" s="124"/>
      <c r="BA24" s="18"/>
      <c r="BB24" s="119" t="str">
        <f>IF([5]回答表!R50="●","●","")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IF([5]回答表!X43="●","●","")</f>
        <v/>
      </c>
      <c r="O36" s="99"/>
      <c r="P36" s="99"/>
      <c r="Q36" s="100"/>
      <c r="R36" s="38"/>
      <c r="S36" s="38"/>
      <c r="T36" s="38"/>
      <c r="U36" s="107" t="str">
        <f>IF([5]回答表!X43="●",[5]回答表!B59,IF([5]回答表!AA43="●",[5]回答表!B79,""))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IF([5]回答表!X43="●",[5]回答表!S65,IF([5]回答表!AA43="●",[5]回答表!S85,""))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IF([5]回答表!X43="●",[5]回答表!G65,IF([5]回答表!AA43="●",[5]回答表!G85,""))</f>
        <v/>
      </c>
      <c r="AN38" s="120"/>
      <c r="AO38" s="120"/>
      <c r="AP38" s="120"/>
      <c r="AQ38" s="120"/>
      <c r="AR38" s="120"/>
      <c r="AS38" s="120"/>
      <c r="AT38" s="121"/>
      <c r="AU38" s="119" t="str">
        <f>IF([5]回答表!X43="●",[5]回答表!G66,IF([5]回答表!AA43="●",[5]回答表!G86,""))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IF([5]回答表!X43="●",[5]回答表!V65,IF([5]回答表!AA43="●",[5]回答表!V85,""))</f>
        <v/>
      </c>
      <c r="BG39" s="249"/>
      <c r="BH39" s="249"/>
      <c r="BI39" s="250"/>
      <c r="BJ39" s="83" t="str">
        <f>IF([5]回答表!X43="●",[5]回答表!V66,IF([5]回答表!AA43="●",[5]回答表!V86,""))</f>
        <v/>
      </c>
      <c r="BK39" s="249"/>
      <c r="BL39" s="249"/>
      <c r="BM39" s="250"/>
      <c r="BN39" s="83" t="str">
        <f>IF([5]回答表!X43="●",[5]回答表!V67,IF([5]回答表!AA43="●",[5]回答表!V87,""))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IF([5]回答表!X43="●",[5]回答表!O71,IF([5]回答表!AA43="●",[5]回答表!O91,""))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IF([5]回答表!X43="●",[5]回答表!O72,IF([5]回答表!AA43="●",[5]回答表!O92,""))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IF([5]回答表!AA43="●","●","")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IF([5]回答表!X43="●",[5]回答表!O73,IF([5]回答表!AA43="●",[5]回答表!O93,""))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IF([5]回答表!X43="●",[5]回答表!O74,IF([5]回答表!AA43="●",[5]回答表!O94,""))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IF([5]回答表!X43="●",[5]回答表!AG71,IF([5]回答表!AA43="●",[5]回答表!AG91,""))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IF([5]回答表!X43="●",[5]回答表!AG72,IF([5]回答表!AA43="●",[5]回答表!AG92,""))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IF([5]回答表!AD43="●","●","")</f>
        <v/>
      </c>
      <c r="O51" s="99"/>
      <c r="P51" s="99"/>
      <c r="Q51" s="100"/>
      <c r="R51" s="38"/>
      <c r="S51" s="38"/>
      <c r="T51" s="38"/>
      <c r="U51" s="107" t="str">
        <f>IF([5]回答表!AD43="●",[5]回答表!B99,"")</f>
        <v/>
      </c>
      <c r="V51" s="108"/>
      <c r="W51" s="108"/>
      <c r="X51" s="108"/>
      <c r="Y51" s="108"/>
      <c r="Z51" s="108"/>
      <c r="AA51" s="108"/>
      <c r="AB51" s="108"/>
      <c r="AC51" s="108"/>
      <c r="AD51" s="108"/>
      <c r="AE51" s="108"/>
      <c r="AF51" s="108"/>
      <c r="AG51" s="108"/>
      <c r="AH51" s="108"/>
      <c r="AI51" s="108"/>
      <c r="AJ51" s="109"/>
      <c r="AK51" s="55"/>
      <c r="AL51" s="55"/>
      <c r="AM51" s="107" t="str">
        <f>IF([5]回答表!AD43="●",[5]回答表!B104,"")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IF([5]回答表!X44="●","●","")</f>
        <v/>
      </c>
      <c r="O62" s="99"/>
      <c r="P62" s="99"/>
      <c r="Q62" s="100"/>
      <c r="R62" s="38"/>
      <c r="S62" s="38"/>
      <c r="T62" s="38"/>
      <c r="U62" s="107" t="str">
        <f>IF([5]回答表!X44="●",[5]回答表!B115,IF([5]回答表!AA44="●",[5]回答表!B127,""))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IF([5]回答表!X44="●",[5]回答表!S121,IF([5]回答表!AA44="●",[5]回答表!S133,""))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IF([5]回答表!X44="●",[5]回答表!J121,IF([5]回答表!AA44="●",[5]回答表!J133,""))</f>
        <v/>
      </c>
      <c r="AN65" s="120"/>
      <c r="AO65" s="120"/>
      <c r="AP65" s="120"/>
      <c r="AQ65" s="120"/>
      <c r="AR65" s="120"/>
      <c r="AS65" s="120"/>
      <c r="AT65" s="121"/>
      <c r="AU65" s="119" t="str">
        <f>IF([5]回答表!X44="●",[5]回答表!J122,IF([5]回答表!AA44="●",[5]回答表!J134,""))</f>
        <v/>
      </c>
      <c r="AV65" s="120"/>
      <c r="AW65" s="120"/>
      <c r="AX65" s="120"/>
      <c r="AY65" s="120"/>
      <c r="AZ65" s="120"/>
      <c r="BA65" s="120"/>
      <c r="BB65" s="121"/>
      <c r="BC65" s="39"/>
      <c r="BD65" s="34"/>
      <c r="BE65" s="34"/>
      <c r="BF65" s="83" t="str">
        <f>IF([5]回答表!X44="●",[5]回答表!V121,IF([5]回答表!AA44="●",[5]回答表!V133,""))</f>
        <v/>
      </c>
      <c r="BG65" s="84"/>
      <c r="BH65" s="84"/>
      <c r="BI65" s="84"/>
      <c r="BJ65" s="83" t="str">
        <f>IF([5]回答表!X44="●",[5]回答表!V122,IF([5]回答表!AA44="●",[5]回答表!V134,""))</f>
        <v/>
      </c>
      <c r="BK65" s="84"/>
      <c r="BL65" s="84"/>
      <c r="BM65" s="84"/>
      <c r="BN65" s="83" t="str">
        <f>IF([5]回答表!X44="●",[5]回答表!V123,IF([5]回答表!AA44="●",[5]回答表!V135,""))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IF([5]回答表!AA44="●","●","")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IF([5]回答表!AD44="●","●","")</f>
        <v>●</v>
      </c>
      <c r="O74" s="99"/>
      <c r="P74" s="99"/>
      <c r="Q74" s="100"/>
      <c r="R74" s="38"/>
      <c r="S74" s="38"/>
      <c r="T74" s="38"/>
      <c r="U74" s="107" t="str">
        <f>IF([5]回答表!AD44="●",[5]回答表!B140,"")</f>
        <v>大館市介護保険事業計画第９期中で民間への譲渡も検討している。
公共施設等総合管理計画を策定し、議会への報告、ホームページで公開済み。</v>
      </c>
      <c r="V74" s="108"/>
      <c r="W74" s="108"/>
      <c r="X74" s="108"/>
      <c r="Y74" s="108"/>
      <c r="Z74" s="108"/>
      <c r="AA74" s="108"/>
      <c r="AB74" s="108"/>
      <c r="AC74" s="108"/>
      <c r="AD74" s="108"/>
      <c r="AE74" s="108"/>
      <c r="AF74" s="108"/>
      <c r="AG74" s="108"/>
      <c r="AH74" s="108"/>
      <c r="AI74" s="108"/>
      <c r="AJ74" s="109"/>
      <c r="AK74" s="55"/>
      <c r="AL74" s="55"/>
      <c r="AM74" s="107" t="str">
        <f>IF([5]回答表!AD44="●",[5]回答表!B146,"")</f>
        <v>令和６年４月を目途に譲渡することで検討。
施設の老朽化もあり、経費が増大しないよう譲渡方法を検討している。</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25.5"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IF([5]回答表!F17="水道事業",IF([5]回答表!X45="●","●",""),"")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IF([5]回答表!F17="水道事業",IF([5]回答表!X45="●",[5]回答表!B158,IF([5]回答表!AA45="●",[5]回答表!B223,"")),"")</f>
        <v/>
      </c>
      <c r="AN86" s="212"/>
      <c r="AO86" s="212"/>
      <c r="AP86" s="212"/>
      <c r="AQ86" s="212"/>
      <c r="AR86" s="212"/>
      <c r="AS86" s="212"/>
      <c r="AT86" s="212"/>
      <c r="AU86" s="212"/>
      <c r="AV86" s="212"/>
      <c r="AW86" s="212"/>
      <c r="AX86" s="212"/>
      <c r="AY86" s="212"/>
      <c r="AZ86" s="212"/>
      <c r="BA86" s="212"/>
      <c r="BB86" s="212"/>
      <c r="BC86" s="213"/>
      <c r="BD86" s="34"/>
      <c r="BE86" s="34"/>
      <c r="BF86" s="116" t="str">
        <f>IF([5]回答表!F17="水道事業",IF([5]回答表!X45="●",[5]回答表!B212,IF([5]回答表!AA45="●",[5]回答表!B278,"")),"")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IF([5]回答表!F17="水道事業",IF([5]回答表!X45="●",[5]回答表!J166,IF([5]回答表!AA45="●",[5]回答表!J231,"")),"")</f>
        <v/>
      </c>
      <c r="V88" s="120"/>
      <c r="W88" s="120"/>
      <c r="X88" s="120"/>
      <c r="Y88" s="120"/>
      <c r="Z88" s="120"/>
      <c r="AA88" s="120"/>
      <c r="AB88" s="121"/>
      <c r="AC88" s="119" t="str">
        <f>IF([5]回答表!F17="水道事業",IF([5]回答表!X45="●",[5]回答表!J173,IF([5]回答表!AA45="●",[5]回答表!J238,"")),"")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IF([5]回答表!F17="水道事業",IF([5]回答表!X45="●",[5]回答表!E212,IF([5]回答表!AA45="●",[5]回答表!E278,"")),"")</f>
        <v/>
      </c>
      <c r="BG89" s="84"/>
      <c r="BH89" s="84"/>
      <c r="BI89" s="84"/>
      <c r="BJ89" s="83" t="str">
        <f>IF([5]回答表!F17="水道事業",IF([5]回答表!X45="●",[5]回答表!E213,IF([5]回答表!AA45="●",[5]回答表!E279,"")),"")</f>
        <v/>
      </c>
      <c r="BK89" s="84"/>
      <c r="BL89" s="84"/>
      <c r="BM89" s="84"/>
      <c r="BN89" s="83" t="str">
        <f>IF([5]回答表!F17="水道事業",IF([5]回答表!X45="●",[5]回答表!E214,IF([5]回答表!AA45="●",[5]回答表!E280,"")),"")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IF([5]回答表!F17="水道事業",IF([5]回答表!AA45="●","●",""),"")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IF([5]回答表!F17="水道事業",IF([5]回答表!X45="●",[5]回答表!J176,IF([5]回答表!AA45="●",[5]回答表!J241,"")),"")</f>
        <v/>
      </c>
      <c r="V93" s="120"/>
      <c r="W93" s="120"/>
      <c r="X93" s="120"/>
      <c r="Y93" s="120"/>
      <c r="Z93" s="120"/>
      <c r="AA93" s="120"/>
      <c r="AB93" s="121"/>
      <c r="AC93" s="119" t="str">
        <f>IF([5]回答表!F17="水道事業",IF([5]回答表!X45="●",[5]回答表!J180,IF([5]回答表!AA45="●",[5]回答表!J245,"")),"")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IF([5]回答表!F17="水道事業",IF([5]回答表!AD45="●","●",""),"")</f>
        <v/>
      </c>
      <c r="O98" s="99"/>
      <c r="P98" s="99"/>
      <c r="Q98" s="100"/>
      <c r="R98" s="38"/>
      <c r="S98" s="38"/>
      <c r="T98" s="38"/>
      <c r="U98" s="107" t="str">
        <f>IF([5]回答表!F17="水道事業",IF([5]回答表!AD45="●",[5]回答表!B289,""),"")</f>
        <v/>
      </c>
      <c r="V98" s="108"/>
      <c r="W98" s="108"/>
      <c r="X98" s="108"/>
      <c r="Y98" s="108"/>
      <c r="Z98" s="108"/>
      <c r="AA98" s="108"/>
      <c r="AB98" s="108"/>
      <c r="AC98" s="108"/>
      <c r="AD98" s="108"/>
      <c r="AE98" s="108"/>
      <c r="AF98" s="108"/>
      <c r="AG98" s="108"/>
      <c r="AH98" s="108"/>
      <c r="AI98" s="108"/>
      <c r="AJ98" s="109"/>
      <c r="AK98" s="55"/>
      <c r="AL98" s="55"/>
      <c r="AM98" s="107" t="str">
        <f>IF([5]回答表!F17="水道事業",IF([5]回答表!AD45="●",[5]回答表!B295,""),"")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IF([5]回答表!F17="簡易水道事業",IF([5]回答表!X45="●",[5]回答表!B158,IF([5]回答表!AA45="●",[5]回答表!B223,"")),"")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IF([5]回答表!F17="簡易水道事業",IF([5]回答表!X45="●",[5]回答表!B212,IF([5]回答表!AA45="●",[5]回答表!B278,"")),"")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IF([5]回答表!F17="簡易水道事業",IF([5]回答表!X45="●","●",""),"")</f>
        <v/>
      </c>
      <c r="O112" s="99"/>
      <c r="P112" s="99"/>
      <c r="Q112" s="100"/>
      <c r="R112" s="38"/>
      <c r="S112" s="38"/>
      <c r="T112" s="38"/>
      <c r="U112" s="119" t="str">
        <f>IF([5]回答表!F17="簡易水道事業",IF([5]回答表!X45="●",[5]回答表!Y185,IF([5]回答表!AA45="●",[5]回答表!Y251,"")),"")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IF([5]回答表!F17="簡易水道事業",IF([5]回答表!X45="●",[5]回答表!E212,IF([5]回答表!AA45="●",[5]回答表!E278,"")),"")</f>
        <v/>
      </c>
      <c r="BG113" s="84"/>
      <c r="BH113" s="84"/>
      <c r="BI113" s="84"/>
      <c r="BJ113" s="83" t="str">
        <f>IF([5]回答表!F17="簡易水道事業",IF([5]回答表!X45="●",[5]回答表!E213,IF([5]回答表!AA45="●",[5]回答表!E279,"")),"")</f>
        <v/>
      </c>
      <c r="BK113" s="84"/>
      <c r="BL113" s="84"/>
      <c r="BM113" s="84"/>
      <c r="BN113" s="83" t="str">
        <f>IF([5]回答表!F17="簡易水道事業",IF([5]回答表!X45="●",[5]回答表!E214,IF([5]回答表!AA45="●",[5]回答表!E280,"")),"")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IF([5]回答表!F17="簡易水道事業",IF([5]回答表!X45="●",[5]回答表!Y186,IF([5]回答表!AA45="●",[5]回答表!Y252,"")),"")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IF([5]回答表!F17="簡易水道事業",IF([5]回答表!AA45="●","●",""),"")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IF([5]回答表!F17="簡易水道事業",IF([5]回答表!X45="●",[5]回答表!Y187,IF([5]回答表!AA45="●",[5]回答表!Y253,"")),"")</f>
        <v/>
      </c>
      <c r="V122" s="120"/>
      <c r="W122" s="120"/>
      <c r="X122" s="120"/>
      <c r="Y122" s="120"/>
      <c r="Z122" s="120"/>
      <c r="AA122" s="120"/>
      <c r="AB122" s="120"/>
      <c r="AC122" s="120"/>
      <c r="AD122" s="120"/>
      <c r="AE122" s="120"/>
      <c r="AF122" s="120"/>
      <c r="AG122" s="120"/>
      <c r="AH122" s="120"/>
      <c r="AI122" s="120"/>
      <c r="AJ122" s="121"/>
      <c r="AK122" s="18"/>
      <c r="AL122" s="18"/>
      <c r="AM122" s="228" t="str">
        <f>IF([5]回答表!F17="簡易水道事業",IF([5]回答表!X45="●",[5]回答表!Y189,IF([5]回答表!AA45="●",[5]回答表!Y255,"")),"")</f>
        <v/>
      </c>
      <c r="AN122" s="228"/>
      <c r="AO122" s="228"/>
      <c r="AP122" s="228"/>
      <c r="AQ122" s="228"/>
      <c r="AR122" s="228"/>
      <c r="AS122" s="228" t="str">
        <f>IF([5]回答表!F17="簡易水道事業",IF([5]回答表!X45="●",[5]回答表!Y190,IF([5]回答表!AA45="●",[5]回答表!Y256,"")),"")</f>
        <v/>
      </c>
      <c r="AT122" s="228"/>
      <c r="AU122" s="228"/>
      <c r="AV122" s="228"/>
      <c r="AW122" s="228"/>
      <c r="AX122" s="228"/>
      <c r="AY122" s="228" t="str">
        <f>IF([5]回答表!F17="簡易水道事業",IF([5]回答表!X45="●",[5]回答表!Y191,IF([5]回答表!AA45="●",[5]回答表!Y257,"")),"")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IF([5]回答表!F17="簡易水道事業",IF([5]回答表!AD45="●","●",""),"")</f>
        <v/>
      </c>
      <c r="O127" s="99"/>
      <c r="P127" s="99"/>
      <c r="Q127" s="100"/>
      <c r="R127" s="38"/>
      <c r="S127" s="38"/>
      <c r="T127" s="38"/>
      <c r="U127" s="107" t="str">
        <f>IF([5]回答表!F17="簡易水道事業",IF([5]回答表!AD45="●",[5]回答表!B289,""),"")</f>
        <v/>
      </c>
      <c r="V127" s="108"/>
      <c r="W127" s="108"/>
      <c r="X127" s="108"/>
      <c r="Y127" s="108"/>
      <c r="Z127" s="108"/>
      <c r="AA127" s="108"/>
      <c r="AB127" s="108"/>
      <c r="AC127" s="108"/>
      <c r="AD127" s="108"/>
      <c r="AE127" s="108"/>
      <c r="AF127" s="108"/>
      <c r="AG127" s="108"/>
      <c r="AH127" s="108"/>
      <c r="AI127" s="108"/>
      <c r="AJ127" s="109"/>
      <c r="AK127" s="55"/>
      <c r="AL127" s="55"/>
      <c r="AM127" s="107" t="str">
        <f>IF([5]回答表!F17="簡易水道事業",IF([5]回答表!AD45="●",[5]回答表!B295,""),"")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IF([5]回答表!F17="下水道事業",IF([5]回答表!X45="●","●",""),"")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IF([5]回答表!F17="下水道事業",IF([5]回答表!X45="●",[5]回答表!B158,IF([5]回答表!AA45="●",[5]回答表!B223,"")),"")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IF([5]回答表!F17="下水道事業",IF([5]回答表!X45="●",[5]回答表!B212,IF([5]回答表!AA45="●",[5]回答表!B278,"")),"")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IF([5]回答表!F17="下水道事業",IF([5]回答表!X45="●",[5]回答表!Y193,IF([5]回答表!AA45="●",[5]回答表!Y259,"")),"")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IF([5]回答表!F17="下水道事業",IF([5]回答表!X45="●",[5]回答表!E212,IF([5]回答表!AA45="●",[5]回答表!E278,"")),"")</f>
        <v/>
      </c>
      <c r="BG142" s="84"/>
      <c r="BH142" s="84"/>
      <c r="BI142" s="84"/>
      <c r="BJ142" s="83" t="str">
        <f>IF([5]回答表!F17="下水道事業",IF([5]回答表!X45="●",[5]回答表!E213,IF([5]回答表!AA45="●",[5]回答表!E279,"")),"")</f>
        <v/>
      </c>
      <c r="BK142" s="84"/>
      <c r="BL142" s="84"/>
      <c r="BM142" s="84"/>
      <c r="BN142" s="83" t="str">
        <f>IF([5]回答表!F17="下水道事業",IF([5]回答表!X45="●",[5]回答表!E214,IF([5]回答表!AA45="●",[5]回答表!E280,"")),"")</f>
        <v/>
      </c>
      <c r="BO142" s="84"/>
      <c r="BP142" s="84"/>
      <c r="BQ142" s="87"/>
      <c r="BR142" s="37"/>
      <c r="BX142" s="211" t="str">
        <f>IF([5]回答表!AQ20="下水道事業",IF([5]回答表!BI48="○",[5]回答表!AM161,IF([5]回答表!BL48="○",[5]回答表!AM226,"")),"")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IF([5]回答表!F17="下水道事業",IF([5]回答表!X45="●",[5]回答表!Y195,IF([5]回答表!AA45="●",[5]回答表!Y261,"")),"")</f>
        <v/>
      </c>
      <c r="V147" s="120"/>
      <c r="W147" s="120"/>
      <c r="X147" s="120"/>
      <c r="Y147" s="120"/>
      <c r="Z147" s="120"/>
      <c r="AA147" s="120"/>
      <c r="AB147" s="121"/>
      <c r="AC147" s="119" t="str">
        <f>IF([5]回答表!F17="下水道事業",IF([5]回答表!X45="●",[5]回答表!Y196,IF([5]回答表!AA45="●",[5]回答表!Y262,"")),"")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IF([5]回答表!F17="下水道事業",IF([5]回答表!X45="●",[5]回答表!Y198,IF([5]回答表!AA45="●",[5]回答表!Y264,"")),"")</f>
        <v/>
      </c>
      <c r="V153" s="120"/>
      <c r="W153" s="120"/>
      <c r="X153" s="120"/>
      <c r="Y153" s="120"/>
      <c r="Z153" s="120"/>
      <c r="AA153" s="120"/>
      <c r="AB153" s="121"/>
      <c r="AC153" s="119" t="str">
        <f>IF([5]回答表!F17="下水道事業",IF([5]回答表!X45="●",[5]回答表!Y199,IF([5]回答表!AA45="●",[5]回答表!Y265,"")),"")</f>
        <v/>
      </c>
      <c r="AD153" s="120"/>
      <c r="AE153" s="120"/>
      <c r="AF153" s="120"/>
      <c r="AG153" s="120"/>
      <c r="AH153" s="120"/>
      <c r="AI153" s="120"/>
      <c r="AJ153" s="121"/>
      <c r="AK153" s="119" t="str">
        <f>IF([5]回答表!F17="下水道事業",IF([5]回答表!X45="●",[5]回答表!Y200,IF([5]回答表!AA45="●",[5]回答表!Y266,"")),"")</f>
        <v/>
      </c>
      <c r="AL153" s="120"/>
      <c r="AM153" s="120"/>
      <c r="AN153" s="120"/>
      <c r="AO153" s="120"/>
      <c r="AP153" s="120"/>
      <c r="AQ153" s="120"/>
      <c r="AR153" s="121"/>
      <c r="AS153" s="119" t="str">
        <f>IF([5]回答表!F17="下水道事業",IF([5]回答表!X45="●",[5]回答表!Y201,IF([5]回答表!AA45="●",[5]回答表!Y267,"")),"")</f>
        <v/>
      </c>
      <c r="AT153" s="120"/>
      <c r="AU153" s="120"/>
      <c r="AV153" s="120"/>
      <c r="AW153" s="120"/>
      <c r="AX153" s="120"/>
      <c r="AY153" s="120"/>
      <c r="AZ153" s="121"/>
      <c r="BA153" s="119" t="str">
        <f>IF([5]回答表!F17="下水道事業",IF([5]回答表!X45="●",[5]回答表!Y202,IF([5]回答表!AA45="●",[5]回答表!Y268,"")),"")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IF([5]回答表!F17="下水道事業",IF([5]回答表!AA45="●","●",""),"")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IF([5]回答表!F17="下水道事業",IF([5]回答表!X45="●",[5]回答表!Y207,IF([5]回答表!AA45="●",[5]回答表!Y273,"")),"")</f>
        <v/>
      </c>
      <c r="V159" s="120"/>
      <c r="W159" s="120"/>
      <c r="X159" s="120"/>
      <c r="Y159" s="120"/>
      <c r="Z159" s="120"/>
      <c r="AA159" s="120"/>
      <c r="AB159" s="121"/>
      <c r="AC159" s="119" t="str">
        <f>IF([5]回答表!F17="下水道事業",IF([5]回答表!X45="●",[5]回答表!Y208,IF([5]回答表!AA45="●",[5]回答表!Y274,"")),"")</f>
        <v/>
      </c>
      <c r="AD159" s="120"/>
      <c r="AE159" s="120"/>
      <c r="AF159" s="120"/>
      <c r="AG159" s="120"/>
      <c r="AH159" s="120"/>
      <c r="AI159" s="120"/>
      <c r="AJ159" s="121"/>
      <c r="AK159" s="119" t="str">
        <f>IF([5]回答表!F17="下水道事業",IF([5]回答表!X45="●",[5]回答表!Y209,IF([5]回答表!AA45="●",[5]回答表!Y275,"")),"")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IF([5]回答表!F17="下水道事業",IF([5]回答表!AD45="●","●",""),"")</f>
        <v/>
      </c>
      <c r="O164" s="99"/>
      <c r="P164" s="99"/>
      <c r="Q164" s="100"/>
      <c r="R164" s="38"/>
      <c r="S164" s="38"/>
      <c r="T164" s="38"/>
      <c r="U164" s="107" t="str">
        <f>IF([5]回答表!F17="下水道事業",IF([5]回答表!AD45="●",[5]回答表!B289,""),"")</f>
        <v/>
      </c>
      <c r="V164" s="108"/>
      <c r="W164" s="108"/>
      <c r="X164" s="108"/>
      <c r="Y164" s="108"/>
      <c r="Z164" s="108"/>
      <c r="AA164" s="108"/>
      <c r="AB164" s="108"/>
      <c r="AC164" s="108"/>
      <c r="AD164" s="108"/>
      <c r="AE164" s="108"/>
      <c r="AF164" s="108"/>
      <c r="AG164" s="108"/>
      <c r="AH164" s="108"/>
      <c r="AI164" s="108"/>
      <c r="AJ164" s="109"/>
      <c r="AK164" s="55"/>
      <c r="AL164" s="55"/>
      <c r="AM164" s="107" t="str">
        <f>IF([5]回答表!F17="下水道事業",IF([5]回答表!AD45="●",[5]回答表!B295,""),"")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IF([5]回答表!BD17="●",IF([5]回答表!X45="●","●",""),"")</f>
        <v/>
      </c>
      <c r="O176" s="99"/>
      <c r="P176" s="99"/>
      <c r="Q176" s="100"/>
      <c r="R176" s="38"/>
      <c r="S176" s="38"/>
      <c r="T176" s="38"/>
      <c r="U176" s="107" t="str">
        <f>IF([5]回答表!BD17="●",IF([5]回答表!X45="●",[5]回答表!B158,IF([5]回答表!AA45="●",[5]回答表!B223,"")),"")</f>
        <v/>
      </c>
      <c r="V176" s="108"/>
      <c r="W176" s="108"/>
      <c r="X176" s="108"/>
      <c r="Y176" s="108"/>
      <c r="Z176" s="108"/>
      <c r="AA176" s="108"/>
      <c r="AB176" s="108"/>
      <c r="AC176" s="108"/>
      <c r="AD176" s="108"/>
      <c r="AE176" s="108"/>
      <c r="AF176" s="108"/>
      <c r="AG176" s="108"/>
      <c r="AH176" s="108"/>
      <c r="AI176" s="108"/>
      <c r="AJ176" s="109"/>
      <c r="AK176" s="49"/>
      <c r="AL176" s="49"/>
      <c r="AM176" s="116" t="str">
        <f>IF([5]回答表!BD17="●",IF([5]回答表!X45="●",[5]回答表!B212,IF([5]回答表!AA45="●",[5]回答表!B278,"")),"")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IF([5]回答表!BD17="●",IF([5]回答表!X45="●",[5]回答表!E212,IF([5]回答表!AA45="●",[5]回答表!E278,"")),"")</f>
        <v/>
      </c>
      <c r="AN179" s="84"/>
      <c r="AO179" s="84"/>
      <c r="AP179" s="84"/>
      <c r="AQ179" s="83" t="str">
        <f>IF([5]回答表!BD17="●",IF([5]回答表!X45="●",[5]回答表!E213,IF([5]回答表!AA45="●",[5]回答表!E279,"")),"")</f>
        <v/>
      </c>
      <c r="AR179" s="84"/>
      <c r="AS179" s="84"/>
      <c r="AT179" s="84"/>
      <c r="AU179" s="83" t="str">
        <f>IF([5]回答表!BD17="●",IF([5]回答表!X45="●",[5]回答表!E214,IF([5]回答表!AA45="●",[5]回答表!E280,"")),"")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IF([5]回答表!BD17="●",IF([5]回答表!AA45="●","●",""),"")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IF([5]回答表!BD17="●",IF([5]回答表!AD45="●","●",""),"")</f>
        <v/>
      </c>
      <c r="O188" s="99"/>
      <c r="P188" s="99"/>
      <c r="Q188" s="100"/>
      <c r="R188" s="38"/>
      <c r="S188" s="38"/>
      <c r="T188" s="38"/>
      <c r="U188" s="107" t="str">
        <f>IF([5]回答表!BD17="●",IF([5]回答表!AD45="●",[5]回答表!B289,""),"")</f>
        <v/>
      </c>
      <c r="V188" s="108"/>
      <c r="W188" s="108"/>
      <c r="X188" s="108"/>
      <c r="Y188" s="108"/>
      <c r="Z188" s="108"/>
      <c r="AA188" s="108"/>
      <c r="AB188" s="108"/>
      <c r="AC188" s="108"/>
      <c r="AD188" s="108"/>
      <c r="AE188" s="108"/>
      <c r="AF188" s="108"/>
      <c r="AG188" s="108"/>
      <c r="AH188" s="108"/>
      <c r="AI188" s="108"/>
      <c r="AJ188" s="109"/>
      <c r="AK188" s="55"/>
      <c r="AL188" s="55"/>
      <c r="AM188" s="107" t="str">
        <f>IF([5]回答表!BD17="●",IF([5]回答表!AD45="●",[5]回答表!B295,""),"")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IF([5]回答表!X46="●","●","")</f>
        <v>●</v>
      </c>
      <c r="O200" s="99"/>
      <c r="P200" s="99"/>
      <c r="Q200" s="100"/>
      <c r="R200" s="38"/>
      <c r="S200" s="38"/>
      <c r="T200" s="38"/>
      <c r="U200" s="107" t="str">
        <f>IF([5]回答表!X46="●",[5]回答表!B307,IF([5]回答表!AA46="●",[5]回答表!B324,""))</f>
        <v>特別養護老人ホーム（定員１１０人）の管理・運営
住民サービスの充実、介護サービスの質の向上が図られた。</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IF([5]回答表!X46="●",[5]回答表!U313,IF([5]回答表!AA46="●",[5]回答表!U330,""))</f>
        <v>平成</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IF([5]回答表!X46="●",[5]回答表!G313,IF([5]回答表!AA46="●",[5]回答表!G330,""))</f>
        <v xml:space="preserve"> </v>
      </c>
      <c r="AN203" s="120"/>
      <c r="AO203" s="120"/>
      <c r="AP203" s="120"/>
      <c r="AQ203" s="120"/>
      <c r="AR203" s="120"/>
      <c r="AS203" s="120"/>
      <c r="AT203" s="121"/>
      <c r="AU203" s="119" t="str">
        <f>IF([5]回答表!X46="●",[5]回答表!G314,IF([5]回答表!AA46="●",[5]回答表!G331,""))</f>
        <v>●</v>
      </c>
      <c r="AV203" s="120"/>
      <c r="AW203" s="120"/>
      <c r="AX203" s="120"/>
      <c r="AY203" s="120"/>
      <c r="AZ203" s="120"/>
      <c r="BA203" s="120"/>
      <c r="BB203" s="121"/>
      <c r="BC203" s="39"/>
      <c r="BD203" s="34"/>
      <c r="BE203" s="34"/>
      <c r="BF203" s="83">
        <f>IF([5]回答表!X46="●",[5]回答表!X313,IF([5]回答表!AA46="●",[5]回答表!X330,""))</f>
        <v>18</v>
      </c>
      <c r="BG203" s="84"/>
      <c r="BH203" s="84"/>
      <c r="BI203" s="84"/>
      <c r="BJ203" s="83">
        <f>IF([5]回答表!X46="●",[5]回答表!X314,IF([5]回答表!AA46="●",[5]回答表!X331,""))</f>
        <v>4</v>
      </c>
      <c r="BK203" s="84"/>
      <c r="BL203" s="84"/>
      <c r="BM203" s="87"/>
      <c r="BN203" s="83">
        <f>IF([5]回答表!X46="●",[5]回答表!X315,IF([5]回答表!AA46="●",[5]回答表!X332,""))</f>
        <v>1</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IF([5]回答表!AA46="●","●","")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IF([5]回答表!AD46="●","●","")</f>
        <v/>
      </c>
      <c r="O212" s="99"/>
      <c r="P212" s="99"/>
      <c r="Q212" s="100"/>
      <c r="R212" s="38"/>
      <c r="S212" s="38"/>
      <c r="T212" s="38"/>
      <c r="U212" s="107" t="str">
        <f>IF([5]回答表!AD46="●",[5]回答表!B337,"")</f>
        <v/>
      </c>
      <c r="V212" s="108"/>
      <c r="W212" s="108"/>
      <c r="X212" s="108"/>
      <c r="Y212" s="108"/>
      <c r="Z212" s="108"/>
      <c r="AA212" s="108"/>
      <c r="AB212" s="108"/>
      <c r="AC212" s="108"/>
      <c r="AD212" s="108"/>
      <c r="AE212" s="108"/>
      <c r="AF212" s="108"/>
      <c r="AG212" s="108"/>
      <c r="AH212" s="108"/>
      <c r="AI212" s="108"/>
      <c r="AJ212" s="109"/>
      <c r="AK212" s="62"/>
      <c r="AL212" s="62"/>
      <c r="AM212" s="107" t="str">
        <f>IF([5]回答表!AD46="●",[5]回答表!B343,"")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IF([5]回答表!X47="●","●","")</f>
        <v/>
      </c>
      <c r="O224" s="99"/>
      <c r="P224" s="99"/>
      <c r="Q224" s="100"/>
      <c r="R224" s="38"/>
      <c r="S224" s="38"/>
      <c r="T224" s="38"/>
      <c r="U224" s="107" t="str">
        <f>IF([5]回答表!X47="●",[5]回答表!B356,IF([5]回答表!AA47="●",[5]回答表!B379,""))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IF([5]回答表!X47="●",[5]回答表!B362,"")</f>
        <v/>
      </c>
      <c r="AO224" s="182"/>
      <c r="AP224" s="182"/>
      <c r="AQ224" s="182"/>
      <c r="AR224" s="182"/>
      <c r="AS224" s="182"/>
      <c r="AT224" s="182"/>
      <c r="AU224" s="182"/>
      <c r="AV224" s="182"/>
      <c r="AW224" s="182"/>
      <c r="AX224" s="182"/>
      <c r="AY224" s="182"/>
      <c r="AZ224" s="182"/>
      <c r="BA224" s="182"/>
      <c r="BB224" s="183"/>
      <c r="BC224" s="39"/>
      <c r="BD224" s="34"/>
      <c r="BE224" s="34"/>
      <c r="BF224" s="116" t="str">
        <f>IF([5]回答表!X47="●",[5]回答表!B368,IF([5]回答表!AA47="●",[5]回答表!B385,""))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IF([5]回答表!X47="●",[5]回答表!E368,IF([5]回答表!AA47="●",[5]回答表!E385,""))</f>
        <v/>
      </c>
      <c r="BG227" s="84"/>
      <c r="BH227" s="84"/>
      <c r="BI227" s="84"/>
      <c r="BJ227" s="83" t="str">
        <f>IF([5]回答表!X47="●",[5]回答表!E369,IF([5]回答表!AA47="●",[5]回答表!E386,""))</f>
        <v/>
      </c>
      <c r="BK227" s="84"/>
      <c r="BL227" s="84"/>
      <c r="BM227" s="87"/>
      <c r="BN227" s="83" t="str">
        <f>IF([5]回答表!X47="●",[5]回答表!E370,IF([5]回答表!AA47="●",[5]回答表!E387,""))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IF([5]回答表!AA47="●","●","")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IF([5]回答表!AD47="●","●","")</f>
        <v/>
      </c>
      <c r="O236" s="99"/>
      <c r="P236" s="99"/>
      <c r="Q236" s="100"/>
      <c r="R236" s="38"/>
      <c r="S236" s="38"/>
      <c r="T236" s="38"/>
      <c r="U236" s="107" t="str">
        <f>IF([5]回答表!AD47="●",[5]回答表!B392,"")</f>
        <v/>
      </c>
      <c r="V236" s="108"/>
      <c r="W236" s="108"/>
      <c r="X236" s="108"/>
      <c r="Y236" s="108"/>
      <c r="Z236" s="108"/>
      <c r="AA236" s="108"/>
      <c r="AB236" s="108"/>
      <c r="AC236" s="108"/>
      <c r="AD236" s="108"/>
      <c r="AE236" s="108"/>
      <c r="AF236" s="108"/>
      <c r="AG236" s="108"/>
      <c r="AH236" s="108"/>
      <c r="AI236" s="108"/>
      <c r="AJ236" s="109"/>
      <c r="AK236" s="62"/>
      <c r="AL236" s="62"/>
      <c r="AM236" s="107" t="str">
        <f>IF([5]回答表!AD47="●",[5]回答表!B398,"")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IF([5]回答表!X48="●","●","")</f>
        <v/>
      </c>
      <c r="O248" s="99"/>
      <c r="P248" s="99"/>
      <c r="Q248" s="100"/>
      <c r="R248" s="38"/>
      <c r="S248" s="38"/>
      <c r="T248" s="38"/>
      <c r="U248" s="107" t="str">
        <f>IF([5]回答表!X48="●",[5]回答表!B411,IF([5]回答表!AA48="●",[5]回答表!B425,""))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IF([5]回答表!X48="●",[5]回答表!BC418,IF([5]回答表!AA48="●",[5]回答表!BC432,""))</f>
        <v/>
      </c>
      <c r="AR248" s="151"/>
      <c r="AS248" s="151"/>
      <c r="AT248" s="151"/>
      <c r="AU248" s="173" t="s">
        <v>73</v>
      </c>
      <c r="AV248" s="174"/>
      <c r="AW248" s="174"/>
      <c r="AX248" s="175"/>
      <c r="AY248" s="151" t="str">
        <f>IF([5]回答表!X48="●",[5]回答表!BC423,IF([5]回答表!AA48="●",[5]回答表!BC437,""))</f>
        <v/>
      </c>
      <c r="AZ248" s="151"/>
      <c r="BA248" s="151"/>
      <c r="BB248" s="151"/>
      <c r="BC248" s="39"/>
      <c r="BD248" s="34"/>
      <c r="BE248" s="34"/>
      <c r="BF248" s="116" t="str">
        <f>IF([5]回答表!X48="●",[5]回答表!S417,IF([5]回答表!AA48="●",[5]回答表!S431,""))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IF([5]回答表!X48="●",[5]回答表!BC419,IF([5]回答表!AA48="●",[5]回答表!BC433,""))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IF([5]回答表!X48="●",[5]回答表!V417,IF([5]回答表!AA48="●",[5]回答表!V431,""))</f>
        <v/>
      </c>
      <c r="BG251" s="84"/>
      <c r="BH251" s="84"/>
      <c r="BI251" s="84"/>
      <c r="BJ251" s="83" t="str">
        <f>IF([5]回答表!X48="●",[5]回答表!V418,IF([5]回答表!AA48="●",[5]回答表!V432,""))</f>
        <v/>
      </c>
      <c r="BK251" s="84"/>
      <c r="BL251" s="84"/>
      <c r="BM251" s="87"/>
      <c r="BN251" s="83" t="str">
        <f>IF([5]回答表!X48="●",[5]回答表!V419,IF([5]回答表!AA48="●",[5]回答表!V433,""))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IF([5]回答表!X48="●",[5]回答表!BC420,IF([5]回答表!AA48="●",[5]回答表!BC434,""))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IF([5]回答表!X48="●",[5]回答表!BC424,IF([5]回答表!AA48="●",[5]回答表!BC438,""))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IF([5]回答表!AA48="●","●","")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IF([5]回答表!X48="●",[5]回答表!BC421,IF([5]回答表!AA48="●",[5]回答表!BC435,""))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IF([5]回答表!X48="●",[5]回答表!BC422,IF([5]回答表!AA48="●",[5]回答表!BC436,""))</f>
        <v/>
      </c>
      <c r="AR256" s="151"/>
      <c r="AS256" s="151"/>
      <c r="AT256" s="151"/>
      <c r="AU256" s="152" t="s">
        <v>79</v>
      </c>
      <c r="AV256" s="153"/>
      <c r="AW256" s="153"/>
      <c r="AX256" s="154"/>
      <c r="AY256" s="158" t="str">
        <f>IF([5]回答表!X48="●",[5]回答表!BC425,IF([5]回答表!AA48="●",[5]回答表!BC439,""))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IF([5]回答表!AD48="●","●","")</f>
        <v/>
      </c>
      <c r="O260" s="99"/>
      <c r="P260" s="99"/>
      <c r="Q260" s="100"/>
      <c r="R260" s="38"/>
      <c r="S260" s="38"/>
      <c r="T260" s="38"/>
      <c r="U260" s="107" t="str">
        <f>IF([5]回答表!AD48="●",[5]回答表!B439,"")</f>
        <v/>
      </c>
      <c r="V260" s="108"/>
      <c r="W260" s="108"/>
      <c r="X260" s="108"/>
      <c r="Y260" s="108"/>
      <c r="Z260" s="108"/>
      <c r="AA260" s="108"/>
      <c r="AB260" s="108"/>
      <c r="AC260" s="108"/>
      <c r="AD260" s="108"/>
      <c r="AE260" s="108"/>
      <c r="AF260" s="108"/>
      <c r="AG260" s="108"/>
      <c r="AH260" s="108"/>
      <c r="AI260" s="108"/>
      <c r="AJ260" s="109"/>
      <c r="AK260" s="55"/>
      <c r="AL260" s="55"/>
      <c r="AM260" s="107" t="str">
        <f>IF([5]回答表!AD48="●",[5]回答表!B445,"")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IF([5]回答表!X49="●","●","")</f>
        <v/>
      </c>
      <c r="O271" s="99"/>
      <c r="P271" s="99"/>
      <c r="Q271" s="100"/>
      <c r="R271" s="38"/>
      <c r="S271" s="38"/>
      <c r="T271" s="38"/>
      <c r="U271" s="107" t="str">
        <f>IF([5]回答表!X49="●",[5]回答表!B458,IF([5]回答表!AA49="●",[5]回答表!B475,""))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IF([5]回答表!X49="●",[5]回答表!B468,IF([5]回答表!AA49="●",[5]回答表!B485,""))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IF([5]回答表!X49="●",[5]回答表!G464,IF([5]回答表!AA49="●",[5]回答表!G481,""))</f>
        <v/>
      </c>
      <c r="AN273" s="120"/>
      <c r="AO273" s="120"/>
      <c r="AP273" s="120"/>
      <c r="AQ273" s="120"/>
      <c r="AR273" s="120"/>
      <c r="AS273" s="120"/>
      <c r="AT273" s="121"/>
      <c r="AU273" s="119" t="str">
        <f>IF([5]回答表!X49="●",[5]回答表!G465,IF([5]回答表!AA49="●",[5]回答表!G482,""))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IF([5]回答表!X49="●",[5]回答表!E468,IF([5]回答表!AA49="●",[5]回答表!E485,""))</f>
        <v/>
      </c>
      <c r="BG274" s="84"/>
      <c r="BH274" s="84"/>
      <c r="BI274" s="84"/>
      <c r="BJ274" s="83" t="str">
        <f>IF([5]回答表!X49="●",[5]回答表!E469,IF([5]回答表!AA49="●",[5]回答表!E486,""))</f>
        <v/>
      </c>
      <c r="BK274" s="84"/>
      <c r="BL274" s="84"/>
      <c r="BM274" s="87"/>
      <c r="BN274" s="83" t="str">
        <f>IF([5]回答表!X49="●",[5]回答表!E470,IF([5]回答表!AA49="●",[5]回答表!E487,""))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IF([5]回答表!AA49="●","●","")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IF([5]回答表!AD49="●","●","")</f>
        <v/>
      </c>
      <c r="O283" s="99"/>
      <c r="P283" s="99"/>
      <c r="Q283" s="100"/>
      <c r="R283" s="38"/>
      <c r="S283" s="38"/>
      <c r="T283" s="38"/>
      <c r="U283" s="107" t="str">
        <f>IF([5]回答表!AD49="●",[5]回答表!B492,"")</f>
        <v/>
      </c>
      <c r="V283" s="108"/>
      <c r="W283" s="108"/>
      <c r="X283" s="108"/>
      <c r="Y283" s="108"/>
      <c r="Z283" s="108"/>
      <c r="AA283" s="108"/>
      <c r="AB283" s="108"/>
      <c r="AC283" s="108"/>
      <c r="AD283" s="108"/>
      <c r="AE283" s="108"/>
      <c r="AF283" s="108"/>
      <c r="AG283" s="108"/>
      <c r="AH283" s="108"/>
      <c r="AI283" s="108"/>
      <c r="AJ283" s="109"/>
      <c r="AK283" s="49"/>
      <c r="AL283" s="49"/>
      <c r="AM283" s="107" t="str">
        <f>IF([5]回答表!AD49="●",[5]回答表!B498,"")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IF([5]回答表!R50="●",[5]回答表!B511,"")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5399-CBF0-4F61-A930-48CD13F43651}">
  <sheetPr>
    <pageSetUpPr fitToPage="1"/>
  </sheetPr>
  <dimension ref="A1:CN315"/>
  <sheetViews>
    <sheetView showZeros="0" view="pageBreakPreview" zoomScale="60" zoomScaleNormal="55" workbookViewId="0">
      <selection activeCell="AR104" sqref="AR104:BB10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IF(COUNTIF([7]回答表!K15,"*")&gt;0,[7]回答表!K15,"")</f>
        <v>大館市</v>
      </c>
      <c r="D11" s="299"/>
      <c r="E11" s="299"/>
      <c r="F11" s="299"/>
      <c r="G11" s="299"/>
      <c r="H11" s="299"/>
      <c r="I11" s="299"/>
      <c r="J11" s="299"/>
      <c r="K11" s="299"/>
      <c r="L11" s="299"/>
      <c r="M11" s="299"/>
      <c r="N11" s="299"/>
      <c r="O11" s="299"/>
      <c r="P11" s="299"/>
      <c r="Q11" s="299"/>
      <c r="R11" s="299"/>
      <c r="S11" s="299"/>
      <c r="T11" s="299"/>
      <c r="U11" s="306" t="str">
        <f>IF(COUNTIF([7]回答表!F17,"*")&gt;0,[7]回答表!F17,"")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IF(COUNTIF([7]回答表!W17,"*")&gt;0,[7]回答表!W17,"")</f>
        <v>老人短期入所施設</v>
      </c>
      <c r="AP11" s="301"/>
      <c r="AQ11" s="301"/>
      <c r="AR11" s="301"/>
      <c r="AS11" s="301"/>
      <c r="AT11" s="301"/>
      <c r="AU11" s="301"/>
      <c r="AV11" s="301"/>
      <c r="AW11" s="301"/>
      <c r="AX11" s="301"/>
      <c r="AY11" s="301"/>
      <c r="AZ11" s="301"/>
      <c r="BA11" s="301"/>
      <c r="BB11" s="301"/>
      <c r="BC11" s="301"/>
      <c r="BD11" s="301"/>
      <c r="BE11" s="301"/>
      <c r="BF11" s="302"/>
      <c r="BG11" s="305" t="str">
        <f>IF(COUNTIF([7]回答表!F19,"*")&gt;0,[7]回答表!F19,"")</f>
        <v>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IF([7]回答表!R43="●","●","")</f>
        <v/>
      </c>
      <c r="E24" s="123"/>
      <c r="F24" s="123"/>
      <c r="G24" s="123"/>
      <c r="H24" s="123"/>
      <c r="I24" s="123"/>
      <c r="J24" s="124"/>
      <c r="K24" s="122" t="str">
        <f>IF([7]回答表!R44="●","●","")</f>
        <v>●</v>
      </c>
      <c r="L24" s="123"/>
      <c r="M24" s="123"/>
      <c r="N24" s="123"/>
      <c r="O24" s="123"/>
      <c r="P24" s="123"/>
      <c r="Q24" s="124"/>
      <c r="R24" s="122" t="str">
        <f>IF([7]回答表!R45="●","●","")</f>
        <v/>
      </c>
      <c r="S24" s="123"/>
      <c r="T24" s="123"/>
      <c r="U24" s="123"/>
      <c r="V24" s="123"/>
      <c r="W24" s="123"/>
      <c r="X24" s="124"/>
      <c r="Y24" s="122" t="str">
        <f>IF([7]回答表!R46="●","●","")</f>
        <v>●</v>
      </c>
      <c r="Z24" s="123"/>
      <c r="AA24" s="123"/>
      <c r="AB24" s="123"/>
      <c r="AC24" s="123"/>
      <c r="AD24" s="123"/>
      <c r="AE24" s="124"/>
      <c r="AF24" s="122" t="str">
        <f>IF([7]回答表!R47="●","●","")</f>
        <v/>
      </c>
      <c r="AG24" s="123"/>
      <c r="AH24" s="123"/>
      <c r="AI24" s="123"/>
      <c r="AJ24" s="123"/>
      <c r="AK24" s="123"/>
      <c r="AL24" s="124"/>
      <c r="AM24" s="122" t="str">
        <f>IF([7]回答表!R48="●","●","")</f>
        <v/>
      </c>
      <c r="AN24" s="123"/>
      <c r="AO24" s="123"/>
      <c r="AP24" s="123"/>
      <c r="AQ24" s="123"/>
      <c r="AR24" s="123"/>
      <c r="AS24" s="124"/>
      <c r="AT24" s="122" t="str">
        <f>IF([7]回答表!R49="●","●","")</f>
        <v/>
      </c>
      <c r="AU24" s="123"/>
      <c r="AV24" s="123"/>
      <c r="AW24" s="123"/>
      <c r="AX24" s="123"/>
      <c r="AY24" s="123"/>
      <c r="AZ24" s="124"/>
      <c r="BA24" s="18"/>
      <c r="BB24" s="119" t="str">
        <f>IF([7]回答表!R50="●","●","")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IF([7]回答表!X43="●","●","")</f>
        <v/>
      </c>
      <c r="O36" s="99"/>
      <c r="P36" s="99"/>
      <c r="Q36" s="100"/>
      <c r="R36" s="38"/>
      <c r="S36" s="38"/>
      <c r="T36" s="38"/>
      <c r="U36" s="107" t="str">
        <f>IF([7]回答表!X43="●",[7]回答表!B59,IF([7]回答表!AA43="●",[7]回答表!B79,""))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IF([7]回答表!X43="●",[7]回答表!S65,IF([7]回答表!AA43="●",[7]回答表!S85,""))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IF([7]回答表!X43="●",[7]回答表!G65,IF([7]回答表!AA43="●",[7]回答表!G85,""))</f>
        <v/>
      </c>
      <c r="AN38" s="120"/>
      <c r="AO38" s="120"/>
      <c r="AP38" s="120"/>
      <c r="AQ38" s="120"/>
      <c r="AR38" s="120"/>
      <c r="AS38" s="120"/>
      <c r="AT38" s="121"/>
      <c r="AU38" s="119" t="str">
        <f>IF([7]回答表!X43="●",[7]回答表!G66,IF([7]回答表!AA43="●",[7]回答表!G86,""))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IF([7]回答表!X43="●",[7]回答表!V65,IF([7]回答表!AA43="●",[7]回答表!V85,""))</f>
        <v/>
      </c>
      <c r="BG39" s="249"/>
      <c r="BH39" s="249"/>
      <c r="BI39" s="250"/>
      <c r="BJ39" s="83" t="str">
        <f>IF([7]回答表!X43="●",[7]回答表!V66,IF([7]回答表!AA43="●",[7]回答表!V86,""))</f>
        <v/>
      </c>
      <c r="BK39" s="249"/>
      <c r="BL39" s="249"/>
      <c r="BM39" s="250"/>
      <c r="BN39" s="83" t="str">
        <f>IF([7]回答表!X43="●",[7]回答表!V67,IF([7]回答表!AA43="●",[7]回答表!V87,""))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IF([7]回答表!X43="●",[7]回答表!O71,IF([7]回答表!AA43="●",[7]回答表!O91,""))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IF([7]回答表!X43="●",[7]回答表!O72,IF([7]回答表!AA43="●",[7]回答表!O92,""))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IF([7]回答表!AA43="●","●","")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IF([7]回答表!X43="●",[7]回答表!O73,IF([7]回答表!AA43="●",[7]回答表!O93,""))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IF([7]回答表!X43="●",[7]回答表!O74,IF([7]回答表!AA43="●",[7]回答表!O94,""))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IF([7]回答表!X43="●",[7]回答表!AG71,IF([7]回答表!AA43="●",[7]回答表!AG91,""))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IF([7]回答表!X43="●",[7]回答表!AG72,IF([7]回答表!AA43="●",[7]回答表!AG92,""))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IF([7]回答表!AD43="●","●","")</f>
        <v/>
      </c>
      <c r="O51" s="99"/>
      <c r="P51" s="99"/>
      <c r="Q51" s="100"/>
      <c r="R51" s="38"/>
      <c r="S51" s="38"/>
      <c r="T51" s="38"/>
      <c r="U51" s="107" t="str">
        <f>IF([7]回答表!AD43="●",[7]回答表!B99,"")</f>
        <v/>
      </c>
      <c r="V51" s="108"/>
      <c r="W51" s="108"/>
      <c r="X51" s="108"/>
      <c r="Y51" s="108"/>
      <c r="Z51" s="108"/>
      <c r="AA51" s="108"/>
      <c r="AB51" s="108"/>
      <c r="AC51" s="108"/>
      <c r="AD51" s="108"/>
      <c r="AE51" s="108"/>
      <c r="AF51" s="108"/>
      <c r="AG51" s="108"/>
      <c r="AH51" s="108"/>
      <c r="AI51" s="108"/>
      <c r="AJ51" s="109"/>
      <c r="AK51" s="55"/>
      <c r="AL51" s="55"/>
      <c r="AM51" s="107" t="str">
        <f>IF([7]回答表!AD43="●",[7]回答表!B104,"")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IF([7]回答表!X44="●","●","")</f>
        <v/>
      </c>
      <c r="O62" s="99"/>
      <c r="P62" s="99"/>
      <c r="Q62" s="100"/>
      <c r="R62" s="38"/>
      <c r="S62" s="38"/>
      <c r="T62" s="38"/>
      <c r="U62" s="107" t="str">
        <f>IF([7]回答表!X44="●",[7]回答表!B115,IF([7]回答表!AA44="●",[7]回答表!B127,""))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IF([7]回答表!X44="●",[7]回答表!S121,IF([7]回答表!AA44="●",[7]回答表!S133,""))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IF([7]回答表!X44="●",[7]回答表!J121,IF([7]回答表!AA44="●",[7]回答表!J133,""))</f>
        <v/>
      </c>
      <c r="AN65" s="120"/>
      <c r="AO65" s="120"/>
      <c r="AP65" s="120"/>
      <c r="AQ65" s="120"/>
      <c r="AR65" s="120"/>
      <c r="AS65" s="120"/>
      <c r="AT65" s="121"/>
      <c r="AU65" s="119" t="str">
        <f>IF([7]回答表!X44="●",[7]回答表!J122,IF([7]回答表!AA44="●",[7]回答表!J134,""))</f>
        <v/>
      </c>
      <c r="AV65" s="120"/>
      <c r="AW65" s="120"/>
      <c r="AX65" s="120"/>
      <c r="AY65" s="120"/>
      <c r="AZ65" s="120"/>
      <c r="BA65" s="120"/>
      <c r="BB65" s="121"/>
      <c r="BC65" s="39"/>
      <c r="BD65" s="34"/>
      <c r="BE65" s="34"/>
      <c r="BF65" s="83" t="str">
        <f>IF([7]回答表!X44="●",[7]回答表!V121,IF([7]回答表!AA44="●",[7]回答表!V133,""))</f>
        <v/>
      </c>
      <c r="BG65" s="84"/>
      <c r="BH65" s="84"/>
      <c r="BI65" s="84"/>
      <c r="BJ65" s="83" t="str">
        <f>IF([7]回答表!X44="●",[7]回答表!V122,IF([7]回答表!AA44="●",[7]回答表!V134,""))</f>
        <v/>
      </c>
      <c r="BK65" s="84"/>
      <c r="BL65" s="84"/>
      <c r="BM65" s="84"/>
      <c r="BN65" s="83" t="str">
        <f>IF([7]回答表!X44="●",[7]回答表!V123,IF([7]回答表!AA44="●",[7]回答表!V135,""))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IF([7]回答表!AA44="●","●","")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IF([7]回答表!AD44="●","●","")</f>
        <v>●</v>
      </c>
      <c r="O74" s="99"/>
      <c r="P74" s="99"/>
      <c r="Q74" s="100"/>
      <c r="R74" s="38"/>
      <c r="S74" s="38"/>
      <c r="T74" s="38"/>
      <c r="U74" s="107" t="str">
        <f>IF([7]回答表!AD44="●",[7]回答表!B140,"")</f>
        <v>大館市介護保険事業計画第９期中で民間への譲渡も検討している。
公共施設等総合管理計画を策定し、議会への報告、ホームページで公開済み。</v>
      </c>
      <c r="V74" s="108"/>
      <c r="W74" s="108"/>
      <c r="X74" s="108"/>
      <c r="Y74" s="108"/>
      <c r="Z74" s="108"/>
      <c r="AA74" s="108"/>
      <c r="AB74" s="108"/>
      <c r="AC74" s="108"/>
      <c r="AD74" s="108"/>
      <c r="AE74" s="108"/>
      <c r="AF74" s="108"/>
      <c r="AG74" s="108"/>
      <c r="AH74" s="108"/>
      <c r="AI74" s="108"/>
      <c r="AJ74" s="109"/>
      <c r="AK74" s="55"/>
      <c r="AL74" s="55"/>
      <c r="AM74" s="107" t="str">
        <f>IF([7]回答表!AD44="●",[7]回答表!B146,"")</f>
        <v>令和６年４月を目途に譲渡することで検討。
施設の老朽化もあり、経費が増大しないよう譲渡方法を検討している。</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26.25"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IF([7]回答表!F17="水道事業",IF([7]回答表!X45="●","●",""),"")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IF([7]回答表!F17="水道事業",IF([7]回答表!X45="●",[7]回答表!B158,IF([7]回答表!AA45="●",[7]回答表!B223,"")),"")</f>
        <v/>
      </c>
      <c r="AN86" s="212"/>
      <c r="AO86" s="212"/>
      <c r="AP86" s="212"/>
      <c r="AQ86" s="212"/>
      <c r="AR86" s="212"/>
      <c r="AS86" s="212"/>
      <c r="AT86" s="212"/>
      <c r="AU86" s="212"/>
      <c r="AV86" s="212"/>
      <c r="AW86" s="212"/>
      <c r="AX86" s="212"/>
      <c r="AY86" s="212"/>
      <c r="AZ86" s="212"/>
      <c r="BA86" s="212"/>
      <c r="BB86" s="212"/>
      <c r="BC86" s="213"/>
      <c r="BD86" s="34"/>
      <c r="BE86" s="34"/>
      <c r="BF86" s="116" t="str">
        <f>IF([7]回答表!F17="水道事業",IF([7]回答表!X45="●",[7]回答表!B212,IF([7]回答表!AA45="●",[7]回答表!B278,"")),"")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IF([7]回答表!F17="水道事業",IF([7]回答表!X45="●",[7]回答表!J166,IF([7]回答表!AA45="●",[7]回答表!J231,"")),"")</f>
        <v/>
      </c>
      <c r="V88" s="120"/>
      <c r="W88" s="120"/>
      <c r="X88" s="120"/>
      <c r="Y88" s="120"/>
      <c r="Z88" s="120"/>
      <c r="AA88" s="120"/>
      <c r="AB88" s="121"/>
      <c r="AC88" s="119" t="str">
        <f>IF([7]回答表!F17="水道事業",IF([7]回答表!X45="●",[7]回答表!J173,IF([7]回答表!AA45="●",[7]回答表!J238,"")),"")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IF([7]回答表!F17="水道事業",IF([7]回答表!X45="●",[7]回答表!E212,IF([7]回答表!AA45="●",[7]回答表!E278,"")),"")</f>
        <v/>
      </c>
      <c r="BG89" s="84"/>
      <c r="BH89" s="84"/>
      <c r="BI89" s="84"/>
      <c r="BJ89" s="83" t="str">
        <f>IF([7]回答表!F17="水道事業",IF([7]回答表!X45="●",[7]回答表!E213,IF([7]回答表!AA45="●",[7]回答表!E279,"")),"")</f>
        <v/>
      </c>
      <c r="BK89" s="84"/>
      <c r="BL89" s="84"/>
      <c r="BM89" s="84"/>
      <c r="BN89" s="83" t="str">
        <f>IF([7]回答表!F17="水道事業",IF([7]回答表!X45="●",[7]回答表!E214,IF([7]回答表!AA45="●",[7]回答表!E280,"")),"")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IF([7]回答表!F17="水道事業",IF([7]回答表!AA45="●","●",""),"")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IF([7]回答表!F17="水道事業",IF([7]回答表!X45="●",[7]回答表!J176,IF([7]回答表!AA45="●",[7]回答表!J241,"")),"")</f>
        <v/>
      </c>
      <c r="V93" s="120"/>
      <c r="W93" s="120"/>
      <c r="X93" s="120"/>
      <c r="Y93" s="120"/>
      <c r="Z93" s="120"/>
      <c r="AA93" s="120"/>
      <c r="AB93" s="121"/>
      <c r="AC93" s="119" t="str">
        <f>IF([7]回答表!F17="水道事業",IF([7]回答表!X45="●",[7]回答表!J180,IF([7]回答表!AA45="●",[7]回答表!J245,"")),"")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IF([7]回答表!F17="水道事業",IF([7]回答表!AD45="●","●",""),"")</f>
        <v/>
      </c>
      <c r="O98" s="99"/>
      <c r="P98" s="99"/>
      <c r="Q98" s="100"/>
      <c r="R98" s="38"/>
      <c r="S98" s="38"/>
      <c r="T98" s="38"/>
      <c r="U98" s="107" t="str">
        <f>IF([7]回答表!F17="水道事業",IF([7]回答表!AD45="●",[7]回答表!B289,""),"")</f>
        <v/>
      </c>
      <c r="V98" s="108"/>
      <c r="W98" s="108"/>
      <c r="X98" s="108"/>
      <c r="Y98" s="108"/>
      <c r="Z98" s="108"/>
      <c r="AA98" s="108"/>
      <c r="AB98" s="108"/>
      <c r="AC98" s="108"/>
      <c r="AD98" s="108"/>
      <c r="AE98" s="108"/>
      <c r="AF98" s="108"/>
      <c r="AG98" s="108"/>
      <c r="AH98" s="108"/>
      <c r="AI98" s="108"/>
      <c r="AJ98" s="109"/>
      <c r="AK98" s="55"/>
      <c r="AL98" s="55"/>
      <c r="AM98" s="107" t="str">
        <f>IF([7]回答表!F17="水道事業",IF([7]回答表!AD45="●",[7]回答表!B295,""),"")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IF([7]回答表!F17="簡易水道事業",IF([7]回答表!X45="●",[7]回答表!B158,IF([7]回答表!AA45="●",[7]回答表!B223,"")),"")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IF([7]回答表!F17="簡易水道事業",IF([7]回答表!X45="●",[7]回答表!B212,IF([7]回答表!AA45="●",[7]回答表!B278,"")),"")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IF([7]回答表!F17="簡易水道事業",IF([7]回答表!X45="●","●",""),"")</f>
        <v/>
      </c>
      <c r="O112" s="99"/>
      <c r="P112" s="99"/>
      <c r="Q112" s="100"/>
      <c r="R112" s="38"/>
      <c r="S112" s="38"/>
      <c r="T112" s="38"/>
      <c r="U112" s="119" t="str">
        <f>IF([7]回答表!F17="簡易水道事業",IF([7]回答表!X45="●",[7]回答表!Y185,IF([7]回答表!AA45="●",[7]回答表!Y251,"")),"")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IF([7]回答表!F17="簡易水道事業",IF([7]回答表!X45="●",[7]回答表!E212,IF([7]回答表!AA45="●",[7]回答表!E278,"")),"")</f>
        <v/>
      </c>
      <c r="BG113" s="84"/>
      <c r="BH113" s="84"/>
      <c r="BI113" s="84"/>
      <c r="BJ113" s="83" t="str">
        <f>IF([7]回答表!F17="簡易水道事業",IF([7]回答表!X45="●",[7]回答表!E213,IF([7]回答表!AA45="●",[7]回答表!E279,"")),"")</f>
        <v/>
      </c>
      <c r="BK113" s="84"/>
      <c r="BL113" s="84"/>
      <c r="BM113" s="84"/>
      <c r="BN113" s="83" t="str">
        <f>IF([7]回答表!F17="簡易水道事業",IF([7]回答表!X45="●",[7]回答表!E214,IF([7]回答表!AA45="●",[7]回答表!E280,"")),"")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IF([7]回答表!F17="簡易水道事業",IF([7]回答表!X45="●",[7]回答表!Y186,IF([7]回答表!AA45="●",[7]回答表!Y252,"")),"")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IF([7]回答表!F17="簡易水道事業",IF([7]回答表!AA45="●","●",""),"")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IF([7]回答表!F17="簡易水道事業",IF([7]回答表!X45="●",[7]回答表!Y187,IF([7]回答表!AA45="●",[7]回答表!Y253,"")),"")</f>
        <v/>
      </c>
      <c r="V122" s="120"/>
      <c r="W122" s="120"/>
      <c r="X122" s="120"/>
      <c r="Y122" s="120"/>
      <c r="Z122" s="120"/>
      <c r="AA122" s="120"/>
      <c r="AB122" s="120"/>
      <c r="AC122" s="120"/>
      <c r="AD122" s="120"/>
      <c r="AE122" s="120"/>
      <c r="AF122" s="120"/>
      <c r="AG122" s="120"/>
      <c r="AH122" s="120"/>
      <c r="AI122" s="120"/>
      <c r="AJ122" s="121"/>
      <c r="AK122" s="18"/>
      <c r="AL122" s="18"/>
      <c r="AM122" s="228" t="str">
        <f>IF([7]回答表!F17="簡易水道事業",IF([7]回答表!X45="●",[7]回答表!Y189,IF([7]回答表!AA45="●",[7]回答表!Y255,"")),"")</f>
        <v/>
      </c>
      <c r="AN122" s="228"/>
      <c r="AO122" s="228"/>
      <c r="AP122" s="228"/>
      <c r="AQ122" s="228"/>
      <c r="AR122" s="228"/>
      <c r="AS122" s="228" t="str">
        <f>IF([7]回答表!F17="簡易水道事業",IF([7]回答表!X45="●",[7]回答表!Y190,IF([7]回答表!AA45="●",[7]回答表!Y256,"")),"")</f>
        <v/>
      </c>
      <c r="AT122" s="228"/>
      <c r="AU122" s="228"/>
      <c r="AV122" s="228"/>
      <c r="AW122" s="228"/>
      <c r="AX122" s="228"/>
      <c r="AY122" s="228" t="str">
        <f>IF([7]回答表!F17="簡易水道事業",IF([7]回答表!X45="●",[7]回答表!Y191,IF([7]回答表!AA45="●",[7]回答表!Y257,"")),"")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IF([7]回答表!F17="簡易水道事業",IF([7]回答表!AD45="●","●",""),"")</f>
        <v/>
      </c>
      <c r="O127" s="99"/>
      <c r="P127" s="99"/>
      <c r="Q127" s="100"/>
      <c r="R127" s="38"/>
      <c r="S127" s="38"/>
      <c r="T127" s="38"/>
      <c r="U127" s="107" t="str">
        <f>IF([7]回答表!F17="簡易水道事業",IF([7]回答表!AD45="●",[7]回答表!B289,""),"")</f>
        <v/>
      </c>
      <c r="V127" s="108"/>
      <c r="W127" s="108"/>
      <c r="X127" s="108"/>
      <c r="Y127" s="108"/>
      <c r="Z127" s="108"/>
      <c r="AA127" s="108"/>
      <c r="AB127" s="108"/>
      <c r="AC127" s="108"/>
      <c r="AD127" s="108"/>
      <c r="AE127" s="108"/>
      <c r="AF127" s="108"/>
      <c r="AG127" s="108"/>
      <c r="AH127" s="108"/>
      <c r="AI127" s="108"/>
      <c r="AJ127" s="109"/>
      <c r="AK127" s="55"/>
      <c r="AL127" s="55"/>
      <c r="AM127" s="107" t="str">
        <f>IF([7]回答表!F17="簡易水道事業",IF([7]回答表!AD45="●",[7]回答表!B295,""),"")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IF([7]回答表!F17="下水道事業",IF([7]回答表!X45="●","●",""),"")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IF([7]回答表!F17="下水道事業",IF([7]回答表!X45="●",[7]回答表!B158,IF([7]回答表!AA45="●",[7]回答表!B223,"")),"")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IF([7]回答表!F17="下水道事業",IF([7]回答表!X45="●",[7]回答表!B212,IF([7]回答表!AA45="●",[7]回答表!B278,"")),"")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IF([7]回答表!F17="下水道事業",IF([7]回答表!X45="●",[7]回答表!Y193,IF([7]回答表!AA45="●",[7]回答表!Y259,"")),"")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IF([7]回答表!F17="下水道事業",IF([7]回答表!X45="●",[7]回答表!E212,IF([7]回答表!AA45="●",[7]回答表!E278,"")),"")</f>
        <v/>
      </c>
      <c r="BG142" s="84"/>
      <c r="BH142" s="84"/>
      <c r="BI142" s="84"/>
      <c r="BJ142" s="83" t="str">
        <f>IF([7]回答表!F17="下水道事業",IF([7]回答表!X45="●",[7]回答表!E213,IF([7]回答表!AA45="●",[7]回答表!E279,"")),"")</f>
        <v/>
      </c>
      <c r="BK142" s="84"/>
      <c r="BL142" s="84"/>
      <c r="BM142" s="84"/>
      <c r="BN142" s="83" t="str">
        <f>IF([7]回答表!F17="下水道事業",IF([7]回答表!X45="●",[7]回答表!E214,IF([7]回答表!AA45="●",[7]回答表!E280,"")),"")</f>
        <v/>
      </c>
      <c r="BO142" s="84"/>
      <c r="BP142" s="84"/>
      <c r="BQ142" s="87"/>
      <c r="BR142" s="37"/>
      <c r="BX142" s="211" t="str">
        <f>IF([7]回答表!AQ20="下水道事業",IF([7]回答表!BI48="○",[7]回答表!AM161,IF([7]回答表!BL48="○",[7]回答表!AM226,"")),"")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IF([7]回答表!F17="下水道事業",IF([7]回答表!X45="●",[7]回答表!Y195,IF([7]回答表!AA45="●",[7]回答表!Y261,"")),"")</f>
        <v/>
      </c>
      <c r="V147" s="120"/>
      <c r="W147" s="120"/>
      <c r="X147" s="120"/>
      <c r="Y147" s="120"/>
      <c r="Z147" s="120"/>
      <c r="AA147" s="120"/>
      <c r="AB147" s="121"/>
      <c r="AC147" s="119" t="str">
        <f>IF([7]回答表!F17="下水道事業",IF([7]回答表!X45="●",[7]回答表!Y196,IF([7]回答表!AA45="●",[7]回答表!Y262,"")),"")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IF([7]回答表!F17="下水道事業",IF([7]回答表!X45="●",[7]回答表!Y198,IF([7]回答表!AA45="●",[7]回答表!Y264,"")),"")</f>
        <v/>
      </c>
      <c r="V153" s="120"/>
      <c r="W153" s="120"/>
      <c r="X153" s="120"/>
      <c r="Y153" s="120"/>
      <c r="Z153" s="120"/>
      <c r="AA153" s="120"/>
      <c r="AB153" s="121"/>
      <c r="AC153" s="119" t="str">
        <f>IF([7]回答表!F17="下水道事業",IF([7]回答表!X45="●",[7]回答表!Y199,IF([7]回答表!AA45="●",[7]回答表!Y265,"")),"")</f>
        <v/>
      </c>
      <c r="AD153" s="120"/>
      <c r="AE153" s="120"/>
      <c r="AF153" s="120"/>
      <c r="AG153" s="120"/>
      <c r="AH153" s="120"/>
      <c r="AI153" s="120"/>
      <c r="AJ153" s="121"/>
      <c r="AK153" s="119" t="str">
        <f>IF([7]回答表!F17="下水道事業",IF([7]回答表!X45="●",[7]回答表!Y200,IF([7]回答表!AA45="●",[7]回答表!Y266,"")),"")</f>
        <v/>
      </c>
      <c r="AL153" s="120"/>
      <c r="AM153" s="120"/>
      <c r="AN153" s="120"/>
      <c r="AO153" s="120"/>
      <c r="AP153" s="120"/>
      <c r="AQ153" s="120"/>
      <c r="AR153" s="121"/>
      <c r="AS153" s="119" t="str">
        <f>IF([7]回答表!F17="下水道事業",IF([7]回答表!X45="●",[7]回答表!Y201,IF([7]回答表!AA45="●",[7]回答表!Y267,"")),"")</f>
        <v/>
      </c>
      <c r="AT153" s="120"/>
      <c r="AU153" s="120"/>
      <c r="AV153" s="120"/>
      <c r="AW153" s="120"/>
      <c r="AX153" s="120"/>
      <c r="AY153" s="120"/>
      <c r="AZ153" s="121"/>
      <c r="BA153" s="119" t="str">
        <f>IF([7]回答表!F17="下水道事業",IF([7]回答表!X45="●",[7]回答表!Y202,IF([7]回答表!AA45="●",[7]回答表!Y268,"")),"")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IF([7]回答表!F17="下水道事業",IF([7]回答表!AA45="●","●",""),"")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IF([7]回答表!F17="下水道事業",IF([7]回答表!X45="●",[7]回答表!Y207,IF([7]回答表!AA45="●",[7]回答表!Y273,"")),"")</f>
        <v/>
      </c>
      <c r="V159" s="120"/>
      <c r="W159" s="120"/>
      <c r="X159" s="120"/>
      <c r="Y159" s="120"/>
      <c r="Z159" s="120"/>
      <c r="AA159" s="120"/>
      <c r="AB159" s="121"/>
      <c r="AC159" s="119" t="str">
        <f>IF([7]回答表!F17="下水道事業",IF([7]回答表!X45="●",[7]回答表!Y208,IF([7]回答表!AA45="●",[7]回答表!Y274,"")),"")</f>
        <v/>
      </c>
      <c r="AD159" s="120"/>
      <c r="AE159" s="120"/>
      <c r="AF159" s="120"/>
      <c r="AG159" s="120"/>
      <c r="AH159" s="120"/>
      <c r="AI159" s="120"/>
      <c r="AJ159" s="121"/>
      <c r="AK159" s="119" t="str">
        <f>IF([7]回答表!F17="下水道事業",IF([7]回答表!X45="●",[7]回答表!Y209,IF([7]回答表!AA45="●",[7]回答表!Y275,"")),"")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IF([7]回答表!F17="下水道事業",IF([7]回答表!AD45="●","●",""),"")</f>
        <v/>
      </c>
      <c r="O164" s="99"/>
      <c r="P164" s="99"/>
      <c r="Q164" s="100"/>
      <c r="R164" s="38"/>
      <c r="S164" s="38"/>
      <c r="T164" s="38"/>
      <c r="U164" s="107" t="str">
        <f>IF([7]回答表!F17="下水道事業",IF([7]回答表!AD45="●",[7]回答表!B289,""),"")</f>
        <v/>
      </c>
      <c r="V164" s="108"/>
      <c r="W164" s="108"/>
      <c r="X164" s="108"/>
      <c r="Y164" s="108"/>
      <c r="Z164" s="108"/>
      <c r="AA164" s="108"/>
      <c r="AB164" s="108"/>
      <c r="AC164" s="108"/>
      <c r="AD164" s="108"/>
      <c r="AE164" s="108"/>
      <c r="AF164" s="108"/>
      <c r="AG164" s="108"/>
      <c r="AH164" s="108"/>
      <c r="AI164" s="108"/>
      <c r="AJ164" s="109"/>
      <c r="AK164" s="55"/>
      <c r="AL164" s="55"/>
      <c r="AM164" s="107" t="str">
        <f>IF([7]回答表!F17="下水道事業",IF([7]回答表!AD45="●",[7]回答表!B295,""),"")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IF([7]回答表!BD17="●",IF([7]回答表!X45="●","●",""),"")</f>
        <v/>
      </c>
      <c r="O176" s="99"/>
      <c r="P176" s="99"/>
      <c r="Q176" s="100"/>
      <c r="R176" s="38"/>
      <c r="S176" s="38"/>
      <c r="T176" s="38"/>
      <c r="U176" s="107" t="str">
        <f>IF([7]回答表!BD17="●",IF([7]回答表!X45="●",[7]回答表!B158,IF([7]回答表!AA45="●",[7]回答表!B223,"")),"")</f>
        <v/>
      </c>
      <c r="V176" s="108"/>
      <c r="W176" s="108"/>
      <c r="X176" s="108"/>
      <c r="Y176" s="108"/>
      <c r="Z176" s="108"/>
      <c r="AA176" s="108"/>
      <c r="AB176" s="108"/>
      <c r="AC176" s="108"/>
      <c r="AD176" s="108"/>
      <c r="AE176" s="108"/>
      <c r="AF176" s="108"/>
      <c r="AG176" s="108"/>
      <c r="AH176" s="108"/>
      <c r="AI176" s="108"/>
      <c r="AJ176" s="109"/>
      <c r="AK176" s="49"/>
      <c r="AL176" s="49"/>
      <c r="AM176" s="116" t="str">
        <f>IF([7]回答表!BD17="●",IF([7]回答表!X45="●",[7]回答表!B212,IF([7]回答表!AA45="●",[7]回答表!B278,"")),"")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IF([7]回答表!BD17="●",IF([7]回答表!X45="●",[7]回答表!E212,IF([7]回答表!AA45="●",[7]回答表!E278,"")),"")</f>
        <v/>
      </c>
      <c r="AN179" s="84"/>
      <c r="AO179" s="84"/>
      <c r="AP179" s="84"/>
      <c r="AQ179" s="83" t="str">
        <f>IF([7]回答表!BD17="●",IF([7]回答表!X45="●",[7]回答表!E213,IF([7]回答表!AA45="●",[7]回答表!E279,"")),"")</f>
        <v/>
      </c>
      <c r="AR179" s="84"/>
      <c r="AS179" s="84"/>
      <c r="AT179" s="84"/>
      <c r="AU179" s="83" t="str">
        <f>IF([7]回答表!BD17="●",IF([7]回答表!X45="●",[7]回答表!E214,IF([7]回答表!AA45="●",[7]回答表!E280,"")),"")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IF([7]回答表!BD17="●",IF([7]回答表!AA45="●","●",""),"")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IF([7]回答表!BD17="●",IF([7]回答表!AD45="●","●",""),"")</f>
        <v/>
      </c>
      <c r="O188" s="99"/>
      <c r="P188" s="99"/>
      <c r="Q188" s="100"/>
      <c r="R188" s="38"/>
      <c r="S188" s="38"/>
      <c r="T188" s="38"/>
      <c r="U188" s="107" t="str">
        <f>IF([7]回答表!BD17="●",IF([7]回答表!AD45="●",[7]回答表!B289,""),"")</f>
        <v/>
      </c>
      <c r="V188" s="108"/>
      <c r="W188" s="108"/>
      <c r="X188" s="108"/>
      <c r="Y188" s="108"/>
      <c r="Z188" s="108"/>
      <c r="AA188" s="108"/>
      <c r="AB188" s="108"/>
      <c r="AC188" s="108"/>
      <c r="AD188" s="108"/>
      <c r="AE188" s="108"/>
      <c r="AF188" s="108"/>
      <c r="AG188" s="108"/>
      <c r="AH188" s="108"/>
      <c r="AI188" s="108"/>
      <c r="AJ188" s="109"/>
      <c r="AK188" s="55"/>
      <c r="AL188" s="55"/>
      <c r="AM188" s="107" t="str">
        <f>IF([7]回答表!BD17="●",IF([7]回答表!AD45="●",[7]回答表!B295,""),"")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IF([7]回答表!X46="●","●","")</f>
        <v>●</v>
      </c>
      <c r="O200" s="99"/>
      <c r="P200" s="99"/>
      <c r="Q200" s="100"/>
      <c r="R200" s="38"/>
      <c r="S200" s="38"/>
      <c r="T200" s="38"/>
      <c r="U200" s="107" t="str">
        <f>IF([7]回答表!X46="●",[7]回答表!B307,IF([7]回答表!AA46="●",[7]回答表!B324,""))</f>
        <v>老人短期入所施設（定員１０人）の管理・運営
住民サービスの充実、介護サービスの質の向上が図られた。</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IF([7]回答表!X46="●",[7]回答表!U313,IF([7]回答表!AA46="●",[7]回答表!U330,""))</f>
        <v>平成</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IF([7]回答表!X46="●",[7]回答表!G313,IF([7]回答表!AA46="●",[7]回答表!G330,""))</f>
        <v xml:space="preserve"> </v>
      </c>
      <c r="AN203" s="120"/>
      <c r="AO203" s="120"/>
      <c r="AP203" s="120"/>
      <c r="AQ203" s="120"/>
      <c r="AR203" s="120"/>
      <c r="AS203" s="120"/>
      <c r="AT203" s="121"/>
      <c r="AU203" s="119" t="str">
        <f>IF([7]回答表!X46="●",[7]回答表!G314,IF([7]回答表!AA46="●",[7]回答表!G331,""))</f>
        <v>●</v>
      </c>
      <c r="AV203" s="120"/>
      <c r="AW203" s="120"/>
      <c r="AX203" s="120"/>
      <c r="AY203" s="120"/>
      <c r="AZ203" s="120"/>
      <c r="BA203" s="120"/>
      <c r="BB203" s="121"/>
      <c r="BC203" s="39"/>
      <c r="BD203" s="34"/>
      <c r="BE203" s="34"/>
      <c r="BF203" s="83">
        <f>IF([7]回答表!X46="●",[7]回答表!X313,IF([7]回答表!AA46="●",[7]回答表!X330,""))</f>
        <v>18</v>
      </c>
      <c r="BG203" s="84"/>
      <c r="BH203" s="84"/>
      <c r="BI203" s="84"/>
      <c r="BJ203" s="83">
        <f>IF([7]回答表!X46="●",[7]回答表!X314,IF([7]回答表!AA46="●",[7]回答表!X331,""))</f>
        <v>4</v>
      </c>
      <c r="BK203" s="84"/>
      <c r="BL203" s="84"/>
      <c r="BM203" s="87"/>
      <c r="BN203" s="83">
        <f>IF([7]回答表!X46="●",[7]回答表!X315,IF([7]回答表!AA46="●",[7]回答表!X332,""))</f>
        <v>1</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IF([7]回答表!AA46="●","●","")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IF([7]回答表!AD46="●","●","")</f>
        <v/>
      </c>
      <c r="O212" s="99"/>
      <c r="P212" s="99"/>
      <c r="Q212" s="100"/>
      <c r="R212" s="38"/>
      <c r="S212" s="38"/>
      <c r="T212" s="38"/>
      <c r="U212" s="107" t="str">
        <f>IF([7]回答表!AD46="●",[7]回答表!B337,"")</f>
        <v/>
      </c>
      <c r="V212" s="108"/>
      <c r="W212" s="108"/>
      <c r="X212" s="108"/>
      <c r="Y212" s="108"/>
      <c r="Z212" s="108"/>
      <c r="AA212" s="108"/>
      <c r="AB212" s="108"/>
      <c r="AC212" s="108"/>
      <c r="AD212" s="108"/>
      <c r="AE212" s="108"/>
      <c r="AF212" s="108"/>
      <c r="AG212" s="108"/>
      <c r="AH212" s="108"/>
      <c r="AI212" s="108"/>
      <c r="AJ212" s="109"/>
      <c r="AK212" s="62"/>
      <c r="AL212" s="62"/>
      <c r="AM212" s="107" t="str">
        <f>IF([7]回答表!AD46="●",[7]回答表!B343,"")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IF([7]回答表!X47="●","●","")</f>
        <v/>
      </c>
      <c r="O224" s="99"/>
      <c r="P224" s="99"/>
      <c r="Q224" s="100"/>
      <c r="R224" s="38"/>
      <c r="S224" s="38"/>
      <c r="T224" s="38"/>
      <c r="U224" s="107" t="str">
        <f>IF([7]回答表!X47="●",[7]回答表!B356,IF([7]回答表!AA47="●",[7]回答表!B379,""))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IF([7]回答表!X47="●",[7]回答表!B362,"")</f>
        <v/>
      </c>
      <c r="AO224" s="182"/>
      <c r="AP224" s="182"/>
      <c r="AQ224" s="182"/>
      <c r="AR224" s="182"/>
      <c r="AS224" s="182"/>
      <c r="AT224" s="182"/>
      <c r="AU224" s="182"/>
      <c r="AV224" s="182"/>
      <c r="AW224" s="182"/>
      <c r="AX224" s="182"/>
      <c r="AY224" s="182"/>
      <c r="AZ224" s="182"/>
      <c r="BA224" s="182"/>
      <c r="BB224" s="183"/>
      <c r="BC224" s="39"/>
      <c r="BD224" s="34"/>
      <c r="BE224" s="34"/>
      <c r="BF224" s="116" t="str">
        <f>IF([7]回答表!X47="●",[7]回答表!B368,IF([7]回答表!AA47="●",[7]回答表!B385,""))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IF([7]回答表!X47="●",[7]回答表!E368,IF([7]回答表!AA47="●",[7]回答表!E385,""))</f>
        <v/>
      </c>
      <c r="BG227" s="84"/>
      <c r="BH227" s="84"/>
      <c r="BI227" s="84"/>
      <c r="BJ227" s="83" t="str">
        <f>IF([7]回答表!X47="●",[7]回答表!E369,IF([7]回答表!AA47="●",[7]回答表!E386,""))</f>
        <v/>
      </c>
      <c r="BK227" s="84"/>
      <c r="BL227" s="84"/>
      <c r="BM227" s="87"/>
      <c r="BN227" s="83" t="str">
        <f>IF([7]回答表!X47="●",[7]回答表!E370,IF([7]回答表!AA47="●",[7]回答表!E387,""))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IF([7]回答表!AA47="●","●","")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IF([7]回答表!AD47="●","●","")</f>
        <v/>
      </c>
      <c r="O236" s="99"/>
      <c r="P236" s="99"/>
      <c r="Q236" s="100"/>
      <c r="R236" s="38"/>
      <c r="S236" s="38"/>
      <c r="T236" s="38"/>
      <c r="U236" s="107" t="str">
        <f>IF([7]回答表!AD47="●",[7]回答表!B392,"")</f>
        <v/>
      </c>
      <c r="V236" s="108"/>
      <c r="W236" s="108"/>
      <c r="X236" s="108"/>
      <c r="Y236" s="108"/>
      <c r="Z236" s="108"/>
      <c r="AA236" s="108"/>
      <c r="AB236" s="108"/>
      <c r="AC236" s="108"/>
      <c r="AD236" s="108"/>
      <c r="AE236" s="108"/>
      <c r="AF236" s="108"/>
      <c r="AG236" s="108"/>
      <c r="AH236" s="108"/>
      <c r="AI236" s="108"/>
      <c r="AJ236" s="109"/>
      <c r="AK236" s="62"/>
      <c r="AL236" s="62"/>
      <c r="AM236" s="107" t="str">
        <f>IF([7]回答表!AD47="●",[7]回答表!B398,"")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IF([7]回答表!X48="●","●","")</f>
        <v/>
      </c>
      <c r="O248" s="99"/>
      <c r="P248" s="99"/>
      <c r="Q248" s="100"/>
      <c r="R248" s="38"/>
      <c r="S248" s="38"/>
      <c r="T248" s="38"/>
      <c r="U248" s="107" t="str">
        <f>IF([7]回答表!X48="●",[7]回答表!B411,IF([7]回答表!AA48="●",[7]回答表!B425,""))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IF([7]回答表!X48="●",[7]回答表!BC418,IF([7]回答表!AA48="●",[7]回答表!BC432,""))</f>
        <v/>
      </c>
      <c r="AR248" s="151"/>
      <c r="AS248" s="151"/>
      <c r="AT248" s="151"/>
      <c r="AU248" s="173" t="s">
        <v>73</v>
      </c>
      <c r="AV248" s="174"/>
      <c r="AW248" s="174"/>
      <c r="AX248" s="175"/>
      <c r="AY248" s="151" t="str">
        <f>IF([7]回答表!X48="●",[7]回答表!BC423,IF([7]回答表!AA48="●",[7]回答表!BC437,""))</f>
        <v/>
      </c>
      <c r="AZ248" s="151"/>
      <c r="BA248" s="151"/>
      <c r="BB248" s="151"/>
      <c r="BC248" s="39"/>
      <c r="BD248" s="34"/>
      <c r="BE248" s="34"/>
      <c r="BF248" s="116" t="str">
        <f>IF([7]回答表!X48="●",[7]回答表!S417,IF([7]回答表!AA48="●",[7]回答表!S431,""))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IF([7]回答表!X48="●",[7]回答表!BC419,IF([7]回答表!AA48="●",[7]回答表!BC433,""))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IF([7]回答表!X48="●",[7]回答表!V417,IF([7]回答表!AA48="●",[7]回答表!V431,""))</f>
        <v/>
      </c>
      <c r="BG251" s="84"/>
      <c r="BH251" s="84"/>
      <c r="BI251" s="84"/>
      <c r="BJ251" s="83" t="str">
        <f>IF([7]回答表!X48="●",[7]回答表!V418,IF([7]回答表!AA48="●",[7]回答表!V432,""))</f>
        <v/>
      </c>
      <c r="BK251" s="84"/>
      <c r="BL251" s="84"/>
      <c r="BM251" s="87"/>
      <c r="BN251" s="83" t="str">
        <f>IF([7]回答表!X48="●",[7]回答表!V419,IF([7]回答表!AA48="●",[7]回答表!V433,""))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IF([7]回答表!X48="●",[7]回答表!BC420,IF([7]回答表!AA48="●",[7]回答表!BC434,""))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IF([7]回答表!X48="●",[7]回答表!BC424,IF([7]回答表!AA48="●",[7]回答表!BC438,""))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IF([7]回答表!AA48="●","●","")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IF([7]回答表!X48="●",[7]回答表!BC421,IF([7]回答表!AA48="●",[7]回答表!BC435,""))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IF([7]回答表!X48="●",[7]回答表!BC422,IF([7]回答表!AA48="●",[7]回答表!BC436,""))</f>
        <v/>
      </c>
      <c r="AR256" s="151"/>
      <c r="AS256" s="151"/>
      <c r="AT256" s="151"/>
      <c r="AU256" s="152" t="s">
        <v>79</v>
      </c>
      <c r="AV256" s="153"/>
      <c r="AW256" s="153"/>
      <c r="AX256" s="154"/>
      <c r="AY256" s="158" t="str">
        <f>IF([7]回答表!X48="●",[7]回答表!BC425,IF([7]回答表!AA48="●",[7]回答表!BC439,""))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IF([7]回答表!AD48="●","●","")</f>
        <v/>
      </c>
      <c r="O260" s="99"/>
      <c r="P260" s="99"/>
      <c r="Q260" s="100"/>
      <c r="R260" s="38"/>
      <c r="S260" s="38"/>
      <c r="T260" s="38"/>
      <c r="U260" s="107" t="str">
        <f>IF([7]回答表!AD48="●",[7]回答表!B439,"")</f>
        <v/>
      </c>
      <c r="V260" s="108"/>
      <c r="W260" s="108"/>
      <c r="X260" s="108"/>
      <c r="Y260" s="108"/>
      <c r="Z260" s="108"/>
      <c r="AA260" s="108"/>
      <c r="AB260" s="108"/>
      <c r="AC260" s="108"/>
      <c r="AD260" s="108"/>
      <c r="AE260" s="108"/>
      <c r="AF260" s="108"/>
      <c r="AG260" s="108"/>
      <c r="AH260" s="108"/>
      <c r="AI260" s="108"/>
      <c r="AJ260" s="109"/>
      <c r="AK260" s="55"/>
      <c r="AL260" s="55"/>
      <c r="AM260" s="107" t="str">
        <f>IF([7]回答表!AD48="●",[7]回答表!B445,"")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IF([7]回答表!X49="●","●","")</f>
        <v/>
      </c>
      <c r="O271" s="99"/>
      <c r="P271" s="99"/>
      <c r="Q271" s="100"/>
      <c r="R271" s="38"/>
      <c r="S271" s="38"/>
      <c r="T271" s="38"/>
      <c r="U271" s="107" t="str">
        <f>IF([7]回答表!X49="●",[7]回答表!B458,IF([7]回答表!AA49="●",[7]回答表!B475,""))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IF([7]回答表!X49="●",[7]回答表!B468,IF([7]回答表!AA49="●",[7]回答表!B485,""))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IF([7]回答表!X49="●",[7]回答表!G464,IF([7]回答表!AA49="●",[7]回答表!G481,""))</f>
        <v/>
      </c>
      <c r="AN273" s="120"/>
      <c r="AO273" s="120"/>
      <c r="AP273" s="120"/>
      <c r="AQ273" s="120"/>
      <c r="AR273" s="120"/>
      <c r="AS273" s="120"/>
      <c r="AT273" s="121"/>
      <c r="AU273" s="119" t="str">
        <f>IF([7]回答表!X49="●",[7]回答表!G465,IF([7]回答表!AA49="●",[7]回答表!G482,""))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IF([7]回答表!X49="●",[7]回答表!E468,IF([7]回答表!AA49="●",[7]回答表!E485,""))</f>
        <v/>
      </c>
      <c r="BG274" s="84"/>
      <c r="BH274" s="84"/>
      <c r="BI274" s="84"/>
      <c r="BJ274" s="83" t="str">
        <f>IF([7]回答表!X49="●",[7]回答表!E469,IF([7]回答表!AA49="●",[7]回答表!E486,""))</f>
        <v/>
      </c>
      <c r="BK274" s="84"/>
      <c r="BL274" s="84"/>
      <c r="BM274" s="87"/>
      <c r="BN274" s="83" t="str">
        <f>IF([7]回答表!X49="●",[7]回答表!E470,IF([7]回答表!AA49="●",[7]回答表!E487,""))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IF([7]回答表!AA49="●","●","")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IF([7]回答表!AD49="●","●","")</f>
        <v/>
      </c>
      <c r="O283" s="99"/>
      <c r="P283" s="99"/>
      <c r="Q283" s="100"/>
      <c r="R283" s="38"/>
      <c r="S283" s="38"/>
      <c r="T283" s="38"/>
      <c r="U283" s="107" t="str">
        <f>IF([7]回答表!AD49="●",[7]回答表!B492,"")</f>
        <v/>
      </c>
      <c r="V283" s="108"/>
      <c r="W283" s="108"/>
      <c r="X283" s="108"/>
      <c r="Y283" s="108"/>
      <c r="Z283" s="108"/>
      <c r="AA283" s="108"/>
      <c r="AB283" s="108"/>
      <c r="AC283" s="108"/>
      <c r="AD283" s="108"/>
      <c r="AE283" s="108"/>
      <c r="AF283" s="108"/>
      <c r="AG283" s="108"/>
      <c r="AH283" s="108"/>
      <c r="AI283" s="108"/>
      <c r="AJ283" s="109"/>
      <c r="AK283" s="49"/>
      <c r="AL283" s="49"/>
      <c r="AM283" s="107" t="str">
        <f>IF([7]回答表!AD49="●",[7]回答表!B498,"")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IF([7]回答表!R50="●",[7]回答表!B511,"")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2A1E-3CFD-4A91-81E3-A9720E19B732}">
  <sheetPr>
    <pageSetUpPr fitToPage="1"/>
  </sheetPr>
  <dimension ref="A1:CN315"/>
  <sheetViews>
    <sheetView showZeros="0"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IF(COUNTIF([6]回答表!K15,"*")&gt;0,[6]回答表!K15,"")</f>
        <v>大館市</v>
      </c>
      <c r="D11" s="299"/>
      <c r="E11" s="299"/>
      <c r="F11" s="299"/>
      <c r="G11" s="299"/>
      <c r="H11" s="299"/>
      <c r="I11" s="299"/>
      <c r="J11" s="299"/>
      <c r="K11" s="299"/>
      <c r="L11" s="299"/>
      <c r="M11" s="299"/>
      <c r="N11" s="299"/>
      <c r="O11" s="299"/>
      <c r="P11" s="299"/>
      <c r="Q11" s="299"/>
      <c r="R11" s="299"/>
      <c r="S11" s="299"/>
      <c r="T11" s="299"/>
      <c r="U11" s="306" t="str">
        <f>IF(COUNTIF([6]回答表!F17,"*")&gt;0,[6]回答表!F17,"")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IF(COUNTIF([6]回答表!W17,"*")&gt;0,[6]回答表!W17,"")</f>
        <v>老人デイサービスセンター</v>
      </c>
      <c r="AP11" s="301"/>
      <c r="AQ11" s="301"/>
      <c r="AR11" s="301"/>
      <c r="AS11" s="301"/>
      <c r="AT11" s="301"/>
      <c r="AU11" s="301"/>
      <c r="AV11" s="301"/>
      <c r="AW11" s="301"/>
      <c r="AX11" s="301"/>
      <c r="AY11" s="301"/>
      <c r="AZ11" s="301"/>
      <c r="BA11" s="301"/>
      <c r="BB11" s="301"/>
      <c r="BC11" s="301"/>
      <c r="BD11" s="301"/>
      <c r="BE11" s="301"/>
      <c r="BF11" s="302"/>
      <c r="BG11" s="305" t="str">
        <f>IF(COUNTIF([6]回答表!F19,"*")&gt;0,[6]回答表!F19,"")</f>
        <v>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IF([6]回答表!R43="●","●","")</f>
        <v/>
      </c>
      <c r="E24" s="123"/>
      <c r="F24" s="123"/>
      <c r="G24" s="123"/>
      <c r="H24" s="123"/>
      <c r="I24" s="123"/>
      <c r="J24" s="124"/>
      <c r="K24" s="122" t="str">
        <f>IF([6]回答表!R44="●","●","")</f>
        <v>●</v>
      </c>
      <c r="L24" s="123"/>
      <c r="M24" s="123"/>
      <c r="N24" s="123"/>
      <c r="O24" s="123"/>
      <c r="P24" s="123"/>
      <c r="Q24" s="124"/>
      <c r="R24" s="122" t="str">
        <f>IF([6]回答表!R45="●","●","")</f>
        <v/>
      </c>
      <c r="S24" s="123"/>
      <c r="T24" s="123"/>
      <c r="U24" s="123"/>
      <c r="V24" s="123"/>
      <c r="W24" s="123"/>
      <c r="X24" s="124"/>
      <c r="Y24" s="122" t="str">
        <f>IF([6]回答表!R46="●","●","")</f>
        <v>●</v>
      </c>
      <c r="Z24" s="123"/>
      <c r="AA24" s="123"/>
      <c r="AB24" s="123"/>
      <c r="AC24" s="123"/>
      <c r="AD24" s="123"/>
      <c r="AE24" s="124"/>
      <c r="AF24" s="122" t="str">
        <f>IF([6]回答表!R47="●","●","")</f>
        <v/>
      </c>
      <c r="AG24" s="123"/>
      <c r="AH24" s="123"/>
      <c r="AI24" s="123"/>
      <c r="AJ24" s="123"/>
      <c r="AK24" s="123"/>
      <c r="AL24" s="124"/>
      <c r="AM24" s="122" t="str">
        <f>IF([6]回答表!R48="●","●","")</f>
        <v/>
      </c>
      <c r="AN24" s="123"/>
      <c r="AO24" s="123"/>
      <c r="AP24" s="123"/>
      <c r="AQ24" s="123"/>
      <c r="AR24" s="123"/>
      <c r="AS24" s="124"/>
      <c r="AT24" s="122" t="str">
        <f>IF([6]回答表!R49="●","●","")</f>
        <v/>
      </c>
      <c r="AU24" s="123"/>
      <c r="AV24" s="123"/>
      <c r="AW24" s="123"/>
      <c r="AX24" s="123"/>
      <c r="AY24" s="123"/>
      <c r="AZ24" s="124"/>
      <c r="BA24" s="18"/>
      <c r="BB24" s="119" t="str">
        <f>IF([6]回答表!R50="●","●","")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IF([6]回答表!X43="●","●","")</f>
        <v/>
      </c>
      <c r="O36" s="99"/>
      <c r="P36" s="99"/>
      <c r="Q36" s="100"/>
      <c r="R36" s="38"/>
      <c r="S36" s="38"/>
      <c r="T36" s="38"/>
      <c r="U36" s="107" t="str">
        <f>IF([6]回答表!X43="●",[6]回答表!B59,IF([6]回答表!AA43="●",[6]回答表!B79,""))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IF([6]回答表!X43="●",[6]回答表!S65,IF([6]回答表!AA43="●",[6]回答表!S85,""))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IF([6]回答表!X43="●",[6]回答表!G65,IF([6]回答表!AA43="●",[6]回答表!G85,""))</f>
        <v/>
      </c>
      <c r="AN38" s="120"/>
      <c r="AO38" s="120"/>
      <c r="AP38" s="120"/>
      <c r="AQ38" s="120"/>
      <c r="AR38" s="120"/>
      <c r="AS38" s="120"/>
      <c r="AT38" s="121"/>
      <c r="AU38" s="119" t="str">
        <f>IF([6]回答表!X43="●",[6]回答表!G66,IF([6]回答表!AA43="●",[6]回答表!G86,""))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IF([6]回答表!X43="●",[6]回答表!V65,IF([6]回答表!AA43="●",[6]回答表!V85,""))</f>
        <v/>
      </c>
      <c r="BG39" s="249"/>
      <c r="BH39" s="249"/>
      <c r="BI39" s="250"/>
      <c r="BJ39" s="83" t="str">
        <f>IF([6]回答表!X43="●",[6]回答表!V66,IF([6]回答表!AA43="●",[6]回答表!V86,""))</f>
        <v/>
      </c>
      <c r="BK39" s="249"/>
      <c r="BL39" s="249"/>
      <c r="BM39" s="250"/>
      <c r="BN39" s="83" t="str">
        <f>IF([6]回答表!X43="●",[6]回答表!V67,IF([6]回答表!AA43="●",[6]回答表!V87,""))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IF([6]回答表!X43="●",[6]回答表!O71,IF([6]回答表!AA43="●",[6]回答表!O91,""))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IF([6]回答表!X43="●",[6]回答表!O72,IF([6]回答表!AA43="●",[6]回答表!O92,""))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IF([6]回答表!AA43="●","●","")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IF([6]回答表!X43="●",[6]回答表!O73,IF([6]回答表!AA43="●",[6]回答表!O93,""))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IF([6]回答表!X43="●",[6]回答表!O74,IF([6]回答表!AA43="●",[6]回答表!O94,""))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IF([6]回答表!X43="●",[6]回答表!AG71,IF([6]回答表!AA43="●",[6]回答表!AG91,""))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IF([6]回答表!X43="●",[6]回答表!AG72,IF([6]回答表!AA43="●",[6]回答表!AG92,""))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IF([6]回答表!AD43="●","●","")</f>
        <v/>
      </c>
      <c r="O51" s="99"/>
      <c r="P51" s="99"/>
      <c r="Q51" s="100"/>
      <c r="R51" s="38"/>
      <c r="S51" s="38"/>
      <c r="T51" s="38"/>
      <c r="U51" s="107" t="str">
        <f>IF([6]回答表!AD43="●",[6]回答表!B99,"")</f>
        <v/>
      </c>
      <c r="V51" s="108"/>
      <c r="W51" s="108"/>
      <c r="X51" s="108"/>
      <c r="Y51" s="108"/>
      <c r="Z51" s="108"/>
      <c r="AA51" s="108"/>
      <c r="AB51" s="108"/>
      <c r="AC51" s="108"/>
      <c r="AD51" s="108"/>
      <c r="AE51" s="108"/>
      <c r="AF51" s="108"/>
      <c r="AG51" s="108"/>
      <c r="AH51" s="108"/>
      <c r="AI51" s="108"/>
      <c r="AJ51" s="109"/>
      <c r="AK51" s="55"/>
      <c r="AL51" s="55"/>
      <c r="AM51" s="107" t="str">
        <f>IF([6]回答表!AD43="●",[6]回答表!B104,"")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IF([6]回答表!X44="●","●","")</f>
        <v/>
      </c>
      <c r="O62" s="99"/>
      <c r="P62" s="99"/>
      <c r="Q62" s="100"/>
      <c r="R62" s="38"/>
      <c r="S62" s="38"/>
      <c r="T62" s="38"/>
      <c r="U62" s="107" t="str">
        <f>IF([6]回答表!X44="●",[6]回答表!B115,IF([6]回答表!AA44="●",[6]回答表!B127,""))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IF([6]回答表!X44="●",[6]回答表!S121,IF([6]回答表!AA44="●",[6]回答表!S133,""))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IF([6]回答表!X44="●",[6]回答表!J121,IF([6]回答表!AA44="●",[6]回答表!J133,""))</f>
        <v/>
      </c>
      <c r="AN65" s="120"/>
      <c r="AO65" s="120"/>
      <c r="AP65" s="120"/>
      <c r="AQ65" s="120"/>
      <c r="AR65" s="120"/>
      <c r="AS65" s="120"/>
      <c r="AT65" s="121"/>
      <c r="AU65" s="119" t="str">
        <f>IF([6]回答表!X44="●",[6]回答表!J122,IF([6]回答表!AA44="●",[6]回答表!J134,""))</f>
        <v/>
      </c>
      <c r="AV65" s="120"/>
      <c r="AW65" s="120"/>
      <c r="AX65" s="120"/>
      <c r="AY65" s="120"/>
      <c r="AZ65" s="120"/>
      <c r="BA65" s="120"/>
      <c r="BB65" s="121"/>
      <c r="BC65" s="39"/>
      <c r="BD65" s="34"/>
      <c r="BE65" s="34"/>
      <c r="BF65" s="83" t="str">
        <f>IF([6]回答表!X44="●",[6]回答表!V121,IF([6]回答表!AA44="●",[6]回答表!V133,""))</f>
        <v/>
      </c>
      <c r="BG65" s="84"/>
      <c r="BH65" s="84"/>
      <c r="BI65" s="84"/>
      <c r="BJ65" s="83" t="str">
        <f>IF([6]回答表!X44="●",[6]回答表!V122,IF([6]回答表!AA44="●",[6]回答表!V134,""))</f>
        <v/>
      </c>
      <c r="BK65" s="84"/>
      <c r="BL65" s="84"/>
      <c r="BM65" s="84"/>
      <c r="BN65" s="83" t="str">
        <f>IF([6]回答表!X44="●",[6]回答表!V123,IF([6]回答表!AA44="●",[6]回答表!V135,""))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IF([6]回答表!AA44="●","●","")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IF([6]回答表!AD44="●","●","")</f>
        <v>●</v>
      </c>
      <c r="O74" s="99"/>
      <c r="P74" s="99"/>
      <c r="Q74" s="100"/>
      <c r="R74" s="38"/>
      <c r="S74" s="38"/>
      <c r="T74" s="38"/>
      <c r="U74" s="107" t="str">
        <f>IF([6]回答表!AD44="●",[6]回答表!B140,"")</f>
        <v>大館市介護保険事業計画第９期中で民間への譲渡も検討している。
公共施設等総合管理計画を策定し、議会への報告、ホームページで公開済み。</v>
      </c>
      <c r="V74" s="108"/>
      <c r="W74" s="108"/>
      <c r="X74" s="108"/>
      <c r="Y74" s="108"/>
      <c r="Z74" s="108"/>
      <c r="AA74" s="108"/>
      <c r="AB74" s="108"/>
      <c r="AC74" s="108"/>
      <c r="AD74" s="108"/>
      <c r="AE74" s="108"/>
      <c r="AF74" s="108"/>
      <c r="AG74" s="108"/>
      <c r="AH74" s="108"/>
      <c r="AI74" s="108"/>
      <c r="AJ74" s="109"/>
      <c r="AK74" s="55"/>
      <c r="AL74" s="55"/>
      <c r="AM74" s="107" t="str">
        <f>IF([6]回答表!AD44="●",[6]回答表!B146,"")</f>
        <v>「大館市デイサービスセンター大滝」については、令和６年４月を目途に譲渡することで検討。
施設の老朽化もあり、経費が増大しないよう譲渡方法を検討している。
「大館市デイサービスセンターかつら」については譲渡予定はなし。</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IF([6]回答表!F17="水道事業",IF([6]回答表!X45="●","●",""),"")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IF([6]回答表!F17="水道事業",IF([6]回答表!X45="●",[6]回答表!B158,IF([6]回答表!AA45="●",[6]回答表!B223,"")),"")</f>
        <v/>
      </c>
      <c r="AN86" s="212"/>
      <c r="AO86" s="212"/>
      <c r="AP86" s="212"/>
      <c r="AQ86" s="212"/>
      <c r="AR86" s="212"/>
      <c r="AS86" s="212"/>
      <c r="AT86" s="212"/>
      <c r="AU86" s="212"/>
      <c r="AV86" s="212"/>
      <c r="AW86" s="212"/>
      <c r="AX86" s="212"/>
      <c r="AY86" s="212"/>
      <c r="AZ86" s="212"/>
      <c r="BA86" s="212"/>
      <c r="BB86" s="212"/>
      <c r="BC86" s="213"/>
      <c r="BD86" s="34"/>
      <c r="BE86" s="34"/>
      <c r="BF86" s="116" t="str">
        <f>IF([6]回答表!F17="水道事業",IF([6]回答表!X45="●",[6]回答表!B212,IF([6]回答表!AA45="●",[6]回答表!B278,"")),"")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IF([6]回答表!F17="水道事業",IF([6]回答表!X45="●",[6]回答表!J166,IF([6]回答表!AA45="●",[6]回答表!J231,"")),"")</f>
        <v/>
      </c>
      <c r="V88" s="120"/>
      <c r="W88" s="120"/>
      <c r="X88" s="120"/>
      <c r="Y88" s="120"/>
      <c r="Z88" s="120"/>
      <c r="AA88" s="120"/>
      <c r="AB88" s="121"/>
      <c r="AC88" s="119" t="str">
        <f>IF([6]回答表!F17="水道事業",IF([6]回答表!X45="●",[6]回答表!J173,IF([6]回答表!AA45="●",[6]回答表!J238,"")),"")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IF([6]回答表!F17="水道事業",IF([6]回答表!X45="●",[6]回答表!E212,IF([6]回答表!AA45="●",[6]回答表!E278,"")),"")</f>
        <v/>
      </c>
      <c r="BG89" s="84"/>
      <c r="BH89" s="84"/>
      <c r="BI89" s="84"/>
      <c r="BJ89" s="83" t="str">
        <f>IF([6]回答表!F17="水道事業",IF([6]回答表!X45="●",[6]回答表!E213,IF([6]回答表!AA45="●",[6]回答表!E279,"")),"")</f>
        <v/>
      </c>
      <c r="BK89" s="84"/>
      <c r="BL89" s="84"/>
      <c r="BM89" s="84"/>
      <c r="BN89" s="83" t="str">
        <f>IF([6]回答表!F17="水道事業",IF([6]回答表!X45="●",[6]回答表!E214,IF([6]回答表!AA45="●",[6]回答表!E280,"")),"")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IF([6]回答表!F17="水道事業",IF([6]回答表!AA45="●","●",""),"")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IF([6]回答表!F17="水道事業",IF([6]回答表!X45="●",[6]回答表!J176,IF([6]回答表!AA45="●",[6]回答表!J241,"")),"")</f>
        <v/>
      </c>
      <c r="V93" s="120"/>
      <c r="W93" s="120"/>
      <c r="X93" s="120"/>
      <c r="Y93" s="120"/>
      <c r="Z93" s="120"/>
      <c r="AA93" s="120"/>
      <c r="AB93" s="121"/>
      <c r="AC93" s="119" t="str">
        <f>IF([6]回答表!F17="水道事業",IF([6]回答表!X45="●",[6]回答表!J180,IF([6]回答表!AA45="●",[6]回答表!J245,"")),"")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IF([6]回答表!F17="水道事業",IF([6]回答表!AD45="●","●",""),"")</f>
        <v/>
      </c>
      <c r="O98" s="99"/>
      <c r="P98" s="99"/>
      <c r="Q98" s="100"/>
      <c r="R98" s="38"/>
      <c r="S98" s="38"/>
      <c r="T98" s="38"/>
      <c r="U98" s="107" t="str">
        <f>IF([6]回答表!F17="水道事業",IF([6]回答表!AD45="●",[6]回答表!B289,""),"")</f>
        <v/>
      </c>
      <c r="V98" s="108"/>
      <c r="W98" s="108"/>
      <c r="X98" s="108"/>
      <c r="Y98" s="108"/>
      <c r="Z98" s="108"/>
      <c r="AA98" s="108"/>
      <c r="AB98" s="108"/>
      <c r="AC98" s="108"/>
      <c r="AD98" s="108"/>
      <c r="AE98" s="108"/>
      <c r="AF98" s="108"/>
      <c r="AG98" s="108"/>
      <c r="AH98" s="108"/>
      <c r="AI98" s="108"/>
      <c r="AJ98" s="109"/>
      <c r="AK98" s="55"/>
      <c r="AL98" s="55"/>
      <c r="AM98" s="107" t="str">
        <f>IF([6]回答表!F17="水道事業",IF([6]回答表!AD45="●",[6]回答表!B295,""),"")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IF([6]回答表!F17="簡易水道事業",IF([6]回答表!X45="●",[6]回答表!B158,IF([6]回答表!AA45="●",[6]回答表!B223,"")),"")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IF([6]回答表!F17="簡易水道事業",IF([6]回答表!X45="●",[6]回答表!B212,IF([6]回答表!AA45="●",[6]回答表!B278,"")),"")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IF([6]回答表!F17="簡易水道事業",IF([6]回答表!X45="●","●",""),"")</f>
        <v/>
      </c>
      <c r="O112" s="99"/>
      <c r="P112" s="99"/>
      <c r="Q112" s="100"/>
      <c r="R112" s="38"/>
      <c r="S112" s="38"/>
      <c r="T112" s="38"/>
      <c r="U112" s="119" t="str">
        <f>IF([6]回答表!F17="簡易水道事業",IF([6]回答表!X45="●",[6]回答表!Y185,IF([6]回答表!AA45="●",[6]回答表!Y251,"")),"")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IF([6]回答表!F17="簡易水道事業",IF([6]回答表!X45="●",[6]回答表!E212,IF([6]回答表!AA45="●",[6]回答表!E278,"")),"")</f>
        <v/>
      </c>
      <c r="BG113" s="84"/>
      <c r="BH113" s="84"/>
      <c r="BI113" s="84"/>
      <c r="BJ113" s="83" t="str">
        <f>IF([6]回答表!F17="簡易水道事業",IF([6]回答表!X45="●",[6]回答表!E213,IF([6]回答表!AA45="●",[6]回答表!E279,"")),"")</f>
        <v/>
      </c>
      <c r="BK113" s="84"/>
      <c r="BL113" s="84"/>
      <c r="BM113" s="84"/>
      <c r="BN113" s="83" t="str">
        <f>IF([6]回答表!F17="簡易水道事業",IF([6]回答表!X45="●",[6]回答表!E214,IF([6]回答表!AA45="●",[6]回答表!E280,"")),"")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IF([6]回答表!F17="簡易水道事業",IF([6]回答表!X45="●",[6]回答表!Y186,IF([6]回答表!AA45="●",[6]回答表!Y252,"")),"")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IF([6]回答表!F17="簡易水道事業",IF([6]回答表!AA45="●","●",""),"")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IF([6]回答表!F17="簡易水道事業",IF([6]回答表!X45="●",[6]回答表!Y187,IF([6]回答表!AA45="●",[6]回答表!Y253,"")),"")</f>
        <v/>
      </c>
      <c r="V122" s="120"/>
      <c r="W122" s="120"/>
      <c r="X122" s="120"/>
      <c r="Y122" s="120"/>
      <c r="Z122" s="120"/>
      <c r="AA122" s="120"/>
      <c r="AB122" s="120"/>
      <c r="AC122" s="120"/>
      <c r="AD122" s="120"/>
      <c r="AE122" s="120"/>
      <c r="AF122" s="120"/>
      <c r="AG122" s="120"/>
      <c r="AH122" s="120"/>
      <c r="AI122" s="120"/>
      <c r="AJ122" s="121"/>
      <c r="AK122" s="18"/>
      <c r="AL122" s="18"/>
      <c r="AM122" s="228" t="str">
        <f>IF([6]回答表!F17="簡易水道事業",IF([6]回答表!X45="●",[6]回答表!Y189,IF([6]回答表!AA45="●",[6]回答表!Y255,"")),"")</f>
        <v/>
      </c>
      <c r="AN122" s="228"/>
      <c r="AO122" s="228"/>
      <c r="AP122" s="228"/>
      <c r="AQ122" s="228"/>
      <c r="AR122" s="228"/>
      <c r="AS122" s="228" t="str">
        <f>IF([6]回答表!F17="簡易水道事業",IF([6]回答表!X45="●",[6]回答表!Y190,IF([6]回答表!AA45="●",[6]回答表!Y256,"")),"")</f>
        <v/>
      </c>
      <c r="AT122" s="228"/>
      <c r="AU122" s="228"/>
      <c r="AV122" s="228"/>
      <c r="AW122" s="228"/>
      <c r="AX122" s="228"/>
      <c r="AY122" s="228" t="str">
        <f>IF([6]回答表!F17="簡易水道事業",IF([6]回答表!X45="●",[6]回答表!Y191,IF([6]回答表!AA45="●",[6]回答表!Y257,"")),"")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IF([6]回答表!F17="簡易水道事業",IF([6]回答表!AD45="●","●",""),"")</f>
        <v/>
      </c>
      <c r="O127" s="99"/>
      <c r="P127" s="99"/>
      <c r="Q127" s="100"/>
      <c r="R127" s="38"/>
      <c r="S127" s="38"/>
      <c r="T127" s="38"/>
      <c r="U127" s="107" t="str">
        <f>IF([6]回答表!F17="簡易水道事業",IF([6]回答表!AD45="●",[6]回答表!B289,""),"")</f>
        <v/>
      </c>
      <c r="V127" s="108"/>
      <c r="W127" s="108"/>
      <c r="X127" s="108"/>
      <c r="Y127" s="108"/>
      <c r="Z127" s="108"/>
      <c r="AA127" s="108"/>
      <c r="AB127" s="108"/>
      <c r="AC127" s="108"/>
      <c r="AD127" s="108"/>
      <c r="AE127" s="108"/>
      <c r="AF127" s="108"/>
      <c r="AG127" s="108"/>
      <c r="AH127" s="108"/>
      <c r="AI127" s="108"/>
      <c r="AJ127" s="109"/>
      <c r="AK127" s="55"/>
      <c r="AL127" s="55"/>
      <c r="AM127" s="107" t="str">
        <f>IF([6]回答表!F17="簡易水道事業",IF([6]回答表!AD45="●",[6]回答表!B295,""),"")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IF([6]回答表!F17="下水道事業",IF([6]回答表!X45="●","●",""),"")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IF([6]回答表!F17="下水道事業",IF([6]回答表!X45="●",[6]回答表!B158,IF([6]回答表!AA45="●",[6]回答表!B223,"")),"")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IF([6]回答表!F17="下水道事業",IF([6]回答表!X45="●",[6]回答表!B212,IF([6]回答表!AA45="●",[6]回答表!B278,"")),"")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IF([6]回答表!F17="下水道事業",IF([6]回答表!X45="●",[6]回答表!Y193,IF([6]回答表!AA45="●",[6]回答表!Y259,"")),"")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IF([6]回答表!F17="下水道事業",IF([6]回答表!X45="●",[6]回答表!E212,IF([6]回答表!AA45="●",[6]回答表!E278,"")),"")</f>
        <v/>
      </c>
      <c r="BG142" s="84"/>
      <c r="BH142" s="84"/>
      <c r="BI142" s="84"/>
      <c r="BJ142" s="83" t="str">
        <f>IF([6]回答表!F17="下水道事業",IF([6]回答表!X45="●",[6]回答表!E213,IF([6]回答表!AA45="●",[6]回答表!E279,"")),"")</f>
        <v/>
      </c>
      <c r="BK142" s="84"/>
      <c r="BL142" s="84"/>
      <c r="BM142" s="84"/>
      <c r="BN142" s="83" t="str">
        <f>IF([6]回答表!F17="下水道事業",IF([6]回答表!X45="●",[6]回答表!E214,IF([6]回答表!AA45="●",[6]回答表!E280,"")),"")</f>
        <v/>
      </c>
      <c r="BO142" s="84"/>
      <c r="BP142" s="84"/>
      <c r="BQ142" s="87"/>
      <c r="BR142" s="37"/>
      <c r="BX142" s="211" t="str">
        <f>IF([6]回答表!AQ20="下水道事業",IF([6]回答表!BI48="○",[6]回答表!AM161,IF([6]回答表!BL48="○",[6]回答表!AM226,"")),"")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IF([6]回答表!F17="下水道事業",IF([6]回答表!X45="●",[6]回答表!Y195,IF([6]回答表!AA45="●",[6]回答表!Y261,"")),"")</f>
        <v/>
      </c>
      <c r="V147" s="120"/>
      <c r="W147" s="120"/>
      <c r="X147" s="120"/>
      <c r="Y147" s="120"/>
      <c r="Z147" s="120"/>
      <c r="AA147" s="120"/>
      <c r="AB147" s="121"/>
      <c r="AC147" s="119" t="str">
        <f>IF([6]回答表!F17="下水道事業",IF([6]回答表!X45="●",[6]回答表!Y196,IF([6]回答表!AA45="●",[6]回答表!Y262,"")),"")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IF([6]回答表!F17="下水道事業",IF([6]回答表!X45="●",[6]回答表!Y198,IF([6]回答表!AA45="●",[6]回答表!Y264,"")),"")</f>
        <v/>
      </c>
      <c r="V153" s="120"/>
      <c r="W153" s="120"/>
      <c r="X153" s="120"/>
      <c r="Y153" s="120"/>
      <c r="Z153" s="120"/>
      <c r="AA153" s="120"/>
      <c r="AB153" s="121"/>
      <c r="AC153" s="119" t="str">
        <f>IF([6]回答表!F17="下水道事業",IF([6]回答表!X45="●",[6]回答表!Y199,IF([6]回答表!AA45="●",[6]回答表!Y265,"")),"")</f>
        <v/>
      </c>
      <c r="AD153" s="120"/>
      <c r="AE153" s="120"/>
      <c r="AF153" s="120"/>
      <c r="AG153" s="120"/>
      <c r="AH153" s="120"/>
      <c r="AI153" s="120"/>
      <c r="AJ153" s="121"/>
      <c r="AK153" s="119" t="str">
        <f>IF([6]回答表!F17="下水道事業",IF([6]回答表!X45="●",[6]回答表!Y200,IF([6]回答表!AA45="●",[6]回答表!Y266,"")),"")</f>
        <v/>
      </c>
      <c r="AL153" s="120"/>
      <c r="AM153" s="120"/>
      <c r="AN153" s="120"/>
      <c r="AO153" s="120"/>
      <c r="AP153" s="120"/>
      <c r="AQ153" s="120"/>
      <c r="AR153" s="121"/>
      <c r="AS153" s="119" t="str">
        <f>IF([6]回答表!F17="下水道事業",IF([6]回答表!X45="●",[6]回答表!Y201,IF([6]回答表!AA45="●",[6]回答表!Y267,"")),"")</f>
        <v/>
      </c>
      <c r="AT153" s="120"/>
      <c r="AU153" s="120"/>
      <c r="AV153" s="120"/>
      <c r="AW153" s="120"/>
      <c r="AX153" s="120"/>
      <c r="AY153" s="120"/>
      <c r="AZ153" s="121"/>
      <c r="BA153" s="119" t="str">
        <f>IF([6]回答表!F17="下水道事業",IF([6]回答表!X45="●",[6]回答表!Y202,IF([6]回答表!AA45="●",[6]回答表!Y268,"")),"")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IF([6]回答表!F17="下水道事業",IF([6]回答表!AA45="●","●",""),"")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IF([6]回答表!F17="下水道事業",IF([6]回答表!X45="●",[6]回答表!Y207,IF([6]回答表!AA45="●",[6]回答表!Y273,"")),"")</f>
        <v/>
      </c>
      <c r="V159" s="120"/>
      <c r="W159" s="120"/>
      <c r="X159" s="120"/>
      <c r="Y159" s="120"/>
      <c r="Z159" s="120"/>
      <c r="AA159" s="120"/>
      <c r="AB159" s="121"/>
      <c r="AC159" s="119" t="str">
        <f>IF([6]回答表!F17="下水道事業",IF([6]回答表!X45="●",[6]回答表!Y208,IF([6]回答表!AA45="●",[6]回答表!Y274,"")),"")</f>
        <v/>
      </c>
      <c r="AD159" s="120"/>
      <c r="AE159" s="120"/>
      <c r="AF159" s="120"/>
      <c r="AG159" s="120"/>
      <c r="AH159" s="120"/>
      <c r="AI159" s="120"/>
      <c r="AJ159" s="121"/>
      <c r="AK159" s="119" t="str">
        <f>IF([6]回答表!F17="下水道事業",IF([6]回答表!X45="●",[6]回答表!Y209,IF([6]回答表!AA45="●",[6]回答表!Y275,"")),"")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IF([6]回答表!F17="下水道事業",IF([6]回答表!AD45="●","●",""),"")</f>
        <v/>
      </c>
      <c r="O164" s="99"/>
      <c r="P164" s="99"/>
      <c r="Q164" s="100"/>
      <c r="R164" s="38"/>
      <c r="S164" s="38"/>
      <c r="T164" s="38"/>
      <c r="U164" s="107" t="str">
        <f>IF([6]回答表!F17="下水道事業",IF([6]回答表!AD45="●",[6]回答表!B289,""),"")</f>
        <v/>
      </c>
      <c r="V164" s="108"/>
      <c r="W164" s="108"/>
      <c r="X164" s="108"/>
      <c r="Y164" s="108"/>
      <c r="Z164" s="108"/>
      <c r="AA164" s="108"/>
      <c r="AB164" s="108"/>
      <c r="AC164" s="108"/>
      <c r="AD164" s="108"/>
      <c r="AE164" s="108"/>
      <c r="AF164" s="108"/>
      <c r="AG164" s="108"/>
      <c r="AH164" s="108"/>
      <c r="AI164" s="108"/>
      <c r="AJ164" s="109"/>
      <c r="AK164" s="55"/>
      <c r="AL164" s="55"/>
      <c r="AM164" s="107" t="str">
        <f>IF([6]回答表!F17="下水道事業",IF([6]回答表!AD45="●",[6]回答表!B295,""),"")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IF([6]回答表!BD17="●",IF([6]回答表!X45="●","●",""),"")</f>
        <v/>
      </c>
      <c r="O176" s="99"/>
      <c r="P176" s="99"/>
      <c r="Q176" s="100"/>
      <c r="R176" s="38"/>
      <c r="S176" s="38"/>
      <c r="T176" s="38"/>
      <c r="U176" s="107" t="str">
        <f>IF([6]回答表!BD17="●",IF([6]回答表!X45="●",[6]回答表!B158,IF([6]回答表!AA45="●",[6]回答表!B223,"")),"")</f>
        <v/>
      </c>
      <c r="V176" s="108"/>
      <c r="W176" s="108"/>
      <c r="X176" s="108"/>
      <c r="Y176" s="108"/>
      <c r="Z176" s="108"/>
      <c r="AA176" s="108"/>
      <c r="AB176" s="108"/>
      <c r="AC176" s="108"/>
      <c r="AD176" s="108"/>
      <c r="AE176" s="108"/>
      <c r="AF176" s="108"/>
      <c r="AG176" s="108"/>
      <c r="AH176" s="108"/>
      <c r="AI176" s="108"/>
      <c r="AJ176" s="109"/>
      <c r="AK176" s="49"/>
      <c r="AL176" s="49"/>
      <c r="AM176" s="116" t="str">
        <f>IF([6]回答表!BD17="●",IF([6]回答表!X45="●",[6]回答表!B212,IF([6]回答表!AA45="●",[6]回答表!B278,"")),"")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IF([6]回答表!BD17="●",IF([6]回答表!X45="●",[6]回答表!E212,IF([6]回答表!AA45="●",[6]回答表!E278,"")),"")</f>
        <v/>
      </c>
      <c r="AN179" s="84"/>
      <c r="AO179" s="84"/>
      <c r="AP179" s="84"/>
      <c r="AQ179" s="83" t="str">
        <f>IF([6]回答表!BD17="●",IF([6]回答表!X45="●",[6]回答表!E213,IF([6]回答表!AA45="●",[6]回答表!E279,"")),"")</f>
        <v/>
      </c>
      <c r="AR179" s="84"/>
      <c r="AS179" s="84"/>
      <c r="AT179" s="84"/>
      <c r="AU179" s="83" t="str">
        <f>IF([6]回答表!BD17="●",IF([6]回答表!X45="●",[6]回答表!E214,IF([6]回答表!AA45="●",[6]回答表!E280,"")),"")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IF([6]回答表!BD17="●",IF([6]回答表!AA45="●","●",""),"")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IF([6]回答表!BD17="●",IF([6]回答表!AD45="●","●",""),"")</f>
        <v/>
      </c>
      <c r="O188" s="99"/>
      <c r="P188" s="99"/>
      <c r="Q188" s="100"/>
      <c r="R188" s="38"/>
      <c r="S188" s="38"/>
      <c r="T188" s="38"/>
      <c r="U188" s="107" t="str">
        <f>IF([6]回答表!BD17="●",IF([6]回答表!AD45="●",[6]回答表!B289,""),"")</f>
        <v/>
      </c>
      <c r="V188" s="108"/>
      <c r="W188" s="108"/>
      <c r="X188" s="108"/>
      <c r="Y188" s="108"/>
      <c r="Z188" s="108"/>
      <c r="AA188" s="108"/>
      <c r="AB188" s="108"/>
      <c r="AC188" s="108"/>
      <c r="AD188" s="108"/>
      <c r="AE188" s="108"/>
      <c r="AF188" s="108"/>
      <c r="AG188" s="108"/>
      <c r="AH188" s="108"/>
      <c r="AI188" s="108"/>
      <c r="AJ188" s="109"/>
      <c r="AK188" s="55"/>
      <c r="AL188" s="55"/>
      <c r="AM188" s="107" t="str">
        <f>IF([6]回答表!BD17="●",IF([6]回答表!AD45="●",[6]回答表!B295,""),"")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IF([6]回答表!X46="●","●","")</f>
        <v>●</v>
      </c>
      <c r="O200" s="99"/>
      <c r="P200" s="99"/>
      <c r="Q200" s="100"/>
      <c r="R200" s="38"/>
      <c r="S200" s="38"/>
      <c r="T200" s="38"/>
      <c r="U200" s="107" t="str">
        <f>IF([6]回答表!X46="●",[6]回答表!B307,IF([6]回答表!AA46="●",[6]回答表!B324,""))</f>
        <v>老人デイサービスセンター（デイサービスセンターかつら：定員２５人、デイサービスセンター大滝：定員３５人）の管理・運営
住民サービスの充実、介護サービスの質の向上が図られた。</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IF([6]回答表!X46="●",[6]回答表!U313,IF([6]回答表!AA46="●",[6]回答表!U330,""))</f>
        <v>平成</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IF([6]回答表!X46="●",[6]回答表!G313,IF([6]回答表!AA46="●",[6]回答表!G330,""))</f>
        <v xml:space="preserve"> </v>
      </c>
      <c r="AN203" s="120"/>
      <c r="AO203" s="120"/>
      <c r="AP203" s="120"/>
      <c r="AQ203" s="120"/>
      <c r="AR203" s="120"/>
      <c r="AS203" s="120"/>
      <c r="AT203" s="121"/>
      <c r="AU203" s="119" t="str">
        <f>IF([6]回答表!X46="●",[6]回答表!G314,IF([6]回答表!AA46="●",[6]回答表!G331,""))</f>
        <v>●</v>
      </c>
      <c r="AV203" s="120"/>
      <c r="AW203" s="120"/>
      <c r="AX203" s="120"/>
      <c r="AY203" s="120"/>
      <c r="AZ203" s="120"/>
      <c r="BA203" s="120"/>
      <c r="BB203" s="121"/>
      <c r="BC203" s="39"/>
      <c r="BD203" s="34"/>
      <c r="BE203" s="34"/>
      <c r="BF203" s="83">
        <f>IF([6]回答表!X46="●",[6]回答表!X313,IF([6]回答表!AA46="●",[6]回答表!X330,""))</f>
        <v>18</v>
      </c>
      <c r="BG203" s="84"/>
      <c r="BH203" s="84"/>
      <c r="BI203" s="84"/>
      <c r="BJ203" s="83">
        <f>IF([6]回答表!X46="●",[6]回答表!X314,IF([6]回答表!AA46="●",[6]回答表!X331,""))</f>
        <v>4</v>
      </c>
      <c r="BK203" s="84"/>
      <c r="BL203" s="84"/>
      <c r="BM203" s="87"/>
      <c r="BN203" s="83">
        <f>IF([6]回答表!X46="●",[6]回答表!X315,IF([6]回答表!AA46="●",[6]回答表!X332,""))</f>
        <v>1</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IF([6]回答表!AA46="●","●","")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IF([6]回答表!AD46="●","●","")</f>
        <v/>
      </c>
      <c r="O212" s="99"/>
      <c r="P212" s="99"/>
      <c r="Q212" s="100"/>
      <c r="R212" s="38"/>
      <c r="S212" s="38"/>
      <c r="T212" s="38"/>
      <c r="U212" s="107" t="str">
        <f>IF([6]回答表!AD46="●",[6]回答表!B337,"")</f>
        <v/>
      </c>
      <c r="V212" s="108"/>
      <c r="W212" s="108"/>
      <c r="X212" s="108"/>
      <c r="Y212" s="108"/>
      <c r="Z212" s="108"/>
      <c r="AA212" s="108"/>
      <c r="AB212" s="108"/>
      <c r="AC212" s="108"/>
      <c r="AD212" s="108"/>
      <c r="AE212" s="108"/>
      <c r="AF212" s="108"/>
      <c r="AG212" s="108"/>
      <c r="AH212" s="108"/>
      <c r="AI212" s="108"/>
      <c r="AJ212" s="109"/>
      <c r="AK212" s="62"/>
      <c r="AL212" s="62"/>
      <c r="AM212" s="107" t="str">
        <f>IF([6]回答表!AD46="●",[6]回答表!B343,"")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IF([6]回答表!X47="●","●","")</f>
        <v/>
      </c>
      <c r="O224" s="99"/>
      <c r="P224" s="99"/>
      <c r="Q224" s="100"/>
      <c r="R224" s="38"/>
      <c r="S224" s="38"/>
      <c r="T224" s="38"/>
      <c r="U224" s="107" t="str">
        <f>IF([6]回答表!X47="●",[6]回答表!B356,IF([6]回答表!AA47="●",[6]回答表!B379,""))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IF([6]回答表!X47="●",[6]回答表!B362,"")</f>
        <v/>
      </c>
      <c r="AO224" s="182"/>
      <c r="AP224" s="182"/>
      <c r="AQ224" s="182"/>
      <c r="AR224" s="182"/>
      <c r="AS224" s="182"/>
      <c r="AT224" s="182"/>
      <c r="AU224" s="182"/>
      <c r="AV224" s="182"/>
      <c r="AW224" s="182"/>
      <c r="AX224" s="182"/>
      <c r="AY224" s="182"/>
      <c r="AZ224" s="182"/>
      <c r="BA224" s="182"/>
      <c r="BB224" s="183"/>
      <c r="BC224" s="39"/>
      <c r="BD224" s="34"/>
      <c r="BE224" s="34"/>
      <c r="BF224" s="116" t="str">
        <f>IF([6]回答表!X47="●",[6]回答表!B368,IF([6]回答表!AA47="●",[6]回答表!B385,""))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IF([6]回答表!X47="●",[6]回答表!E368,IF([6]回答表!AA47="●",[6]回答表!E385,""))</f>
        <v/>
      </c>
      <c r="BG227" s="84"/>
      <c r="BH227" s="84"/>
      <c r="BI227" s="84"/>
      <c r="BJ227" s="83" t="str">
        <f>IF([6]回答表!X47="●",[6]回答表!E369,IF([6]回答表!AA47="●",[6]回答表!E386,""))</f>
        <v/>
      </c>
      <c r="BK227" s="84"/>
      <c r="BL227" s="84"/>
      <c r="BM227" s="87"/>
      <c r="BN227" s="83" t="str">
        <f>IF([6]回答表!X47="●",[6]回答表!E370,IF([6]回答表!AA47="●",[6]回答表!E387,""))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IF([6]回答表!AA47="●","●","")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IF([6]回答表!AD47="●","●","")</f>
        <v/>
      </c>
      <c r="O236" s="99"/>
      <c r="P236" s="99"/>
      <c r="Q236" s="100"/>
      <c r="R236" s="38"/>
      <c r="S236" s="38"/>
      <c r="T236" s="38"/>
      <c r="U236" s="107" t="str">
        <f>IF([6]回答表!AD47="●",[6]回答表!B392,"")</f>
        <v/>
      </c>
      <c r="V236" s="108"/>
      <c r="W236" s="108"/>
      <c r="X236" s="108"/>
      <c r="Y236" s="108"/>
      <c r="Z236" s="108"/>
      <c r="AA236" s="108"/>
      <c r="AB236" s="108"/>
      <c r="AC236" s="108"/>
      <c r="AD236" s="108"/>
      <c r="AE236" s="108"/>
      <c r="AF236" s="108"/>
      <c r="AG236" s="108"/>
      <c r="AH236" s="108"/>
      <c r="AI236" s="108"/>
      <c r="AJ236" s="109"/>
      <c r="AK236" s="62"/>
      <c r="AL236" s="62"/>
      <c r="AM236" s="107" t="str">
        <f>IF([6]回答表!AD47="●",[6]回答表!B398,"")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IF([6]回答表!X48="●","●","")</f>
        <v/>
      </c>
      <c r="O248" s="99"/>
      <c r="P248" s="99"/>
      <c r="Q248" s="100"/>
      <c r="R248" s="38"/>
      <c r="S248" s="38"/>
      <c r="T248" s="38"/>
      <c r="U248" s="107" t="str">
        <f>IF([6]回答表!X48="●",[6]回答表!B411,IF([6]回答表!AA48="●",[6]回答表!B425,""))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IF([6]回答表!X48="●",[6]回答表!BC418,IF([6]回答表!AA48="●",[6]回答表!BC432,""))</f>
        <v/>
      </c>
      <c r="AR248" s="151"/>
      <c r="AS248" s="151"/>
      <c r="AT248" s="151"/>
      <c r="AU248" s="173" t="s">
        <v>73</v>
      </c>
      <c r="AV248" s="174"/>
      <c r="AW248" s="174"/>
      <c r="AX248" s="175"/>
      <c r="AY248" s="151" t="str">
        <f>IF([6]回答表!X48="●",[6]回答表!BC423,IF([6]回答表!AA48="●",[6]回答表!BC437,""))</f>
        <v/>
      </c>
      <c r="AZ248" s="151"/>
      <c r="BA248" s="151"/>
      <c r="BB248" s="151"/>
      <c r="BC248" s="39"/>
      <c r="BD248" s="34"/>
      <c r="BE248" s="34"/>
      <c r="BF248" s="116" t="str">
        <f>IF([6]回答表!X48="●",[6]回答表!S417,IF([6]回答表!AA48="●",[6]回答表!S431,""))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IF([6]回答表!X48="●",[6]回答表!BC419,IF([6]回答表!AA48="●",[6]回答表!BC433,""))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IF([6]回答表!X48="●",[6]回答表!V417,IF([6]回答表!AA48="●",[6]回答表!V431,""))</f>
        <v/>
      </c>
      <c r="BG251" s="84"/>
      <c r="BH251" s="84"/>
      <c r="BI251" s="84"/>
      <c r="BJ251" s="83" t="str">
        <f>IF([6]回答表!X48="●",[6]回答表!V418,IF([6]回答表!AA48="●",[6]回答表!V432,""))</f>
        <v/>
      </c>
      <c r="BK251" s="84"/>
      <c r="BL251" s="84"/>
      <c r="BM251" s="87"/>
      <c r="BN251" s="83" t="str">
        <f>IF([6]回答表!X48="●",[6]回答表!V419,IF([6]回答表!AA48="●",[6]回答表!V433,""))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IF([6]回答表!X48="●",[6]回答表!BC420,IF([6]回答表!AA48="●",[6]回答表!BC434,""))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IF([6]回答表!X48="●",[6]回答表!BC424,IF([6]回答表!AA48="●",[6]回答表!BC438,""))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IF([6]回答表!AA48="●","●","")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IF([6]回答表!X48="●",[6]回答表!BC421,IF([6]回答表!AA48="●",[6]回答表!BC435,""))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IF([6]回答表!X48="●",[6]回答表!BC422,IF([6]回答表!AA48="●",[6]回答表!BC436,""))</f>
        <v/>
      </c>
      <c r="AR256" s="151"/>
      <c r="AS256" s="151"/>
      <c r="AT256" s="151"/>
      <c r="AU256" s="152" t="s">
        <v>79</v>
      </c>
      <c r="AV256" s="153"/>
      <c r="AW256" s="153"/>
      <c r="AX256" s="154"/>
      <c r="AY256" s="158" t="str">
        <f>IF([6]回答表!X48="●",[6]回答表!BC425,IF([6]回答表!AA48="●",[6]回答表!BC439,""))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IF([6]回答表!AD48="●","●","")</f>
        <v/>
      </c>
      <c r="O260" s="99"/>
      <c r="P260" s="99"/>
      <c r="Q260" s="100"/>
      <c r="R260" s="38"/>
      <c r="S260" s="38"/>
      <c r="T260" s="38"/>
      <c r="U260" s="107" t="str">
        <f>IF([6]回答表!AD48="●",[6]回答表!B439,"")</f>
        <v/>
      </c>
      <c r="V260" s="108"/>
      <c r="W260" s="108"/>
      <c r="X260" s="108"/>
      <c r="Y260" s="108"/>
      <c r="Z260" s="108"/>
      <c r="AA260" s="108"/>
      <c r="AB260" s="108"/>
      <c r="AC260" s="108"/>
      <c r="AD260" s="108"/>
      <c r="AE260" s="108"/>
      <c r="AF260" s="108"/>
      <c r="AG260" s="108"/>
      <c r="AH260" s="108"/>
      <c r="AI260" s="108"/>
      <c r="AJ260" s="109"/>
      <c r="AK260" s="55"/>
      <c r="AL260" s="55"/>
      <c r="AM260" s="107" t="str">
        <f>IF([6]回答表!AD48="●",[6]回答表!B445,"")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IF([6]回答表!X49="●","●","")</f>
        <v/>
      </c>
      <c r="O271" s="99"/>
      <c r="P271" s="99"/>
      <c r="Q271" s="100"/>
      <c r="R271" s="38"/>
      <c r="S271" s="38"/>
      <c r="T271" s="38"/>
      <c r="U271" s="107" t="str">
        <f>IF([6]回答表!X49="●",[6]回答表!B458,IF([6]回答表!AA49="●",[6]回答表!B475,""))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IF([6]回答表!X49="●",[6]回答表!B468,IF([6]回答表!AA49="●",[6]回答表!B485,""))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IF([6]回答表!X49="●",[6]回答表!G464,IF([6]回答表!AA49="●",[6]回答表!G481,""))</f>
        <v/>
      </c>
      <c r="AN273" s="120"/>
      <c r="AO273" s="120"/>
      <c r="AP273" s="120"/>
      <c r="AQ273" s="120"/>
      <c r="AR273" s="120"/>
      <c r="AS273" s="120"/>
      <c r="AT273" s="121"/>
      <c r="AU273" s="119" t="str">
        <f>IF([6]回答表!X49="●",[6]回答表!G465,IF([6]回答表!AA49="●",[6]回答表!G482,""))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IF([6]回答表!X49="●",[6]回答表!E468,IF([6]回答表!AA49="●",[6]回答表!E485,""))</f>
        <v/>
      </c>
      <c r="BG274" s="84"/>
      <c r="BH274" s="84"/>
      <c r="BI274" s="84"/>
      <c r="BJ274" s="83" t="str">
        <f>IF([6]回答表!X49="●",[6]回答表!E469,IF([6]回答表!AA49="●",[6]回答表!E486,""))</f>
        <v/>
      </c>
      <c r="BK274" s="84"/>
      <c r="BL274" s="84"/>
      <c r="BM274" s="87"/>
      <c r="BN274" s="83" t="str">
        <f>IF([6]回答表!X49="●",[6]回答表!E470,IF([6]回答表!AA49="●",[6]回答表!E487,""))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IF([6]回答表!AA49="●","●","")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IF([6]回答表!AD49="●","●","")</f>
        <v/>
      </c>
      <c r="O283" s="99"/>
      <c r="P283" s="99"/>
      <c r="Q283" s="100"/>
      <c r="R283" s="38"/>
      <c r="S283" s="38"/>
      <c r="T283" s="38"/>
      <c r="U283" s="107" t="str">
        <f>IF([6]回答表!AD49="●",[6]回答表!B492,"")</f>
        <v/>
      </c>
      <c r="V283" s="108"/>
      <c r="W283" s="108"/>
      <c r="X283" s="108"/>
      <c r="Y283" s="108"/>
      <c r="Z283" s="108"/>
      <c r="AA283" s="108"/>
      <c r="AB283" s="108"/>
      <c r="AC283" s="108"/>
      <c r="AD283" s="108"/>
      <c r="AE283" s="108"/>
      <c r="AF283" s="108"/>
      <c r="AG283" s="108"/>
      <c r="AH283" s="108"/>
      <c r="AI283" s="108"/>
      <c r="AJ283" s="109"/>
      <c r="AK283" s="49"/>
      <c r="AL283" s="49"/>
      <c r="AM283" s="107" t="str">
        <f>IF([6]回答表!AD49="●",[6]回答表!B498,"")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IF([6]回答表!R50="●",[6]回答表!B511,"")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169F-5A60-4005-9AB6-1523C29A8F4B}">
  <sheetPr>
    <pageSetUpPr fitToPage="1"/>
  </sheetPr>
  <dimension ref="A1:CN315"/>
  <sheetViews>
    <sheetView showZeros="0" view="pageBreakPreview" zoomScale="55" zoomScaleNormal="55" zoomScaleSheetLayoutView="55" workbookViewId="0">
      <selection activeCell="R32" sqref="R32:BB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IF(COUNTIF([11]回答表!K15,"*")&gt;0,[11]回答表!K15,"")</f>
        <v>大館市</v>
      </c>
      <c r="D11" s="299"/>
      <c r="E11" s="299"/>
      <c r="F11" s="299"/>
      <c r="G11" s="299"/>
      <c r="H11" s="299"/>
      <c r="I11" s="299"/>
      <c r="J11" s="299"/>
      <c r="K11" s="299"/>
      <c r="L11" s="299"/>
      <c r="M11" s="299"/>
      <c r="N11" s="299"/>
      <c r="O11" s="299"/>
      <c r="P11" s="299"/>
      <c r="Q11" s="299"/>
      <c r="R11" s="299"/>
      <c r="S11" s="299"/>
      <c r="T11" s="299"/>
      <c r="U11" s="306" t="str">
        <f>IF(COUNTIF([11]回答表!F17,"*")&gt;0,[11]回答表!F17,"")</f>
        <v>駐車場整備事業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IF(COUNTIF([11]回答表!W17,"*")&gt;0,[11]回答表!W17,"")</f>
        <v>―</v>
      </c>
      <c r="AP11" s="301"/>
      <c r="AQ11" s="301"/>
      <c r="AR11" s="301"/>
      <c r="AS11" s="301"/>
      <c r="AT11" s="301"/>
      <c r="AU11" s="301"/>
      <c r="AV11" s="301"/>
      <c r="AW11" s="301"/>
      <c r="AX11" s="301"/>
      <c r="AY11" s="301"/>
      <c r="AZ11" s="301"/>
      <c r="BA11" s="301"/>
      <c r="BB11" s="301"/>
      <c r="BC11" s="301"/>
      <c r="BD11" s="301"/>
      <c r="BE11" s="301"/>
      <c r="BF11" s="302"/>
      <c r="BG11" s="305" t="str">
        <f>IF(COUNTIF([11]回答表!F19,"*")&gt;0,[11]回答表!F19,"")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IF([11]回答表!R43="●","●","")</f>
        <v>●</v>
      </c>
      <c r="E24" s="123"/>
      <c r="F24" s="123"/>
      <c r="G24" s="123"/>
      <c r="H24" s="123"/>
      <c r="I24" s="123"/>
      <c r="J24" s="124"/>
      <c r="K24" s="122" t="str">
        <f>IF([11]回答表!R44="●","●","")</f>
        <v/>
      </c>
      <c r="L24" s="123"/>
      <c r="M24" s="123"/>
      <c r="N24" s="123"/>
      <c r="O24" s="123"/>
      <c r="P24" s="123"/>
      <c r="Q24" s="124"/>
      <c r="R24" s="122" t="str">
        <f>IF([11]回答表!R45="●","●","")</f>
        <v/>
      </c>
      <c r="S24" s="123"/>
      <c r="T24" s="123"/>
      <c r="U24" s="123"/>
      <c r="V24" s="123"/>
      <c r="W24" s="123"/>
      <c r="X24" s="124"/>
      <c r="Y24" s="122" t="str">
        <f>IF([11]回答表!R46="●","●","")</f>
        <v/>
      </c>
      <c r="Z24" s="123"/>
      <c r="AA24" s="123"/>
      <c r="AB24" s="123"/>
      <c r="AC24" s="123"/>
      <c r="AD24" s="123"/>
      <c r="AE24" s="124"/>
      <c r="AF24" s="122" t="str">
        <f>IF([11]回答表!R47="●","●","")</f>
        <v/>
      </c>
      <c r="AG24" s="123"/>
      <c r="AH24" s="123"/>
      <c r="AI24" s="123"/>
      <c r="AJ24" s="123"/>
      <c r="AK24" s="123"/>
      <c r="AL24" s="124"/>
      <c r="AM24" s="122" t="str">
        <f>IF([11]回答表!R48="●","●","")</f>
        <v/>
      </c>
      <c r="AN24" s="123"/>
      <c r="AO24" s="123"/>
      <c r="AP24" s="123"/>
      <c r="AQ24" s="123"/>
      <c r="AR24" s="123"/>
      <c r="AS24" s="124"/>
      <c r="AT24" s="122" t="str">
        <f>IF([11]回答表!R49="●","●","")</f>
        <v/>
      </c>
      <c r="AU24" s="123"/>
      <c r="AV24" s="123"/>
      <c r="AW24" s="123"/>
      <c r="AX24" s="123"/>
      <c r="AY24" s="123"/>
      <c r="AZ24" s="124"/>
      <c r="BA24" s="18"/>
      <c r="BB24" s="119" t="str">
        <f>IF([11]回答表!R50="●","●","")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IF([11]回答表!X43="●","●","")</f>
        <v>●</v>
      </c>
      <c r="O36" s="99"/>
      <c r="P36" s="99"/>
      <c r="Q36" s="100"/>
      <c r="R36" s="38"/>
      <c r="S36" s="38"/>
      <c r="T36" s="38"/>
      <c r="U36" s="107" t="str">
        <f>IF([11]回答表!X43="●",[11]回答表!B59,IF([11]回答表!AA43="●",[11]回答表!B79,""))</f>
        <v>特別会計を設置して公設駐車場の運営及び建設事業債の償還を行っていたが、事業廃止後に施設の管理方法を見直したことで管理運営費△4,369千円（H26年度3月補正予算後予算額とR3年度当初予算額対比）となった。</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IF([11]回答表!X43="●",[11]回答表!S65,IF([11]回答表!AA43="●",[11]回答表!S85,""))</f>
        <v>平成</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IF([11]回答表!X43="●",[11]回答表!G65,IF([11]回答表!AA43="●",[11]回答表!G85,""))</f>
        <v>●</v>
      </c>
      <c r="AN38" s="120"/>
      <c r="AO38" s="120"/>
      <c r="AP38" s="120"/>
      <c r="AQ38" s="120"/>
      <c r="AR38" s="120"/>
      <c r="AS38" s="120"/>
      <c r="AT38" s="121"/>
      <c r="AU38" s="119" t="str">
        <f>IF([11]回答表!X43="●",[11]回答表!G66,IF([11]回答表!AA43="●",[11]回答表!G86,""))</f>
        <v xml:space="preserve">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IF([11]回答表!X43="●",[11]回答表!V65,IF([11]回答表!AA43="●",[11]回答表!V85,""))</f>
        <v>27</v>
      </c>
      <c r="BG39" s="249"/>
      <c r="BH39" s="249"/>
      <c r="BI39" s="250"/>
      <c r="BJ39" s="83">
        <f>IF([11]回答表!X43="●",[11]回答表!V66,IF([11]回答表!AA43="●",[11]回答表!V86,""))</f>
        <v>3</v>
      </c>
      <c r="BK39" s="249"/>
      <c r="BL39" s="249"/>
      <c r="BM39" s="250"/>
      <c r="BN39" s="83">
        <f>IF([11]回答表!X43="●",[11]回答表!V67,IF([11]回答表!AA43="●",[11]回答表!V87,""))</f>
        <v>31</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IF([11]回答表!X43="●",[11]回答表!O71,IF([11]回答表!AA43="●",[11]回答表!O91,""))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IF([11]回答表!X43="●",[11]回答表!O72,IF([11]回答表!AA43="●",[11]回答表!O92,""))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IF([11]回答表!X43="●",[11]回答表!O73,IF([11]回答表!AA43="●",[11]回答表!O93,""))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IF([11]回答表!X43="●",[11]回答表!O74,IF([11]回答表!AA43="●",[11]回答表!O94,""))</f>
        <v xml:space="preserve">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IF([11]回答表!X43="●",[11]回答表!AG71,IF([11]回答表!AA43="●",[11]回答表!AG91,""))</f>
        <v xml:space="preserve">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IF([11]回答表!X43="●",[11]回答表!AG72,IF([11]回答表!AA43="●",[11]回答表!AG92,""))</f>
        <v>●</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IF([11]回答表!AD43="●","●","")</f>
        <v/>
      </c>
      <c r="O51" s="99"/>
      <c r="P51" s="99"/>
      <c r="Q51" s="100"/>
      <c r="R51" s="38"/>
      <c r="S51" s="38"/>
      <c r="T51" s="38"/>
      <c r="U51" s="107" t="str">
        <f>IF([11]回答表!AD43="●",[11]回答表!B99,"")</f>
        <v/>
      </c>
      <c r="V51" s="108"/>
      <c r="W51" s="108"/>
      <c r="X51" s="108"/>
      <c r="Y51" s="108"/>
      <c r="Z51" s="108"/>
      <c r="AA51" s="108"/>
      <c r="AB51" s="108"/>
      <c r="AC51" s="108"/>
      <c r="AD51" s="108"/>
      <c r="AE51" s="108"/>
      <c r="AF51" s="108"/>
      <c r="AG51" s="108"/>
      <c r="AH51" s="108"/>
      <c r="AI51" s="108"/>
      <c r="AJ51" s="109"/>
      <c r="AK51" s="55"/>
      <c r="AL51" s="55"/>
      <c r="AM51" s="107" t="str">
        <f>IF([11]回答表!AD43="●",[11]回答表!B104,"")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IF([11]回答表!X44="●","●","")</f>
        <v/>
      </c>
      <c r="O62" s="99"/>
      <c r="P62" s="99"/>
      <c r="Q62" s="100"/>
      <c r="R62" s="38"/>
      <c r="S62" s="38"/>
      <c r="T62" s="38"/>
      <c r="U62" s="107" t="str">
        <f>IF([11]回答表!X44="●",[11]回答表!B115,IF([11]回答表!AA44="●",[11]回答表!B127,""))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IF([11]回答表!X44="●",[11]回答表!S121,IF([11]回答表!AA44="●",[11]回答表!S133,""))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IF([11]回答表!X44="●",[11]回答表!J121,IF([11]回答表!AA44="●",[11]回答表!J133,""))</f>
        <v/>
      </c>
      <c r="AN65" s="120"/>
      <c r="AO65" s="120"/>
      <c r="AP65" s="120"/>
      <c r="AQ65" s="120"/>
      <c r="AR65" s="120"/>
      <c r="AS65" s="120"/>
      <c r="AT65" s="121"/>
      <c r="AU65" s="119" t="str">
        <f>IF([11]回答表!X44="●",[11]回答表!J122,IF([11]回答表!AA44="●",[11]回答表!J134,""))</f>
        <v/>
      </c>
      <c r="AV65" s="120"/>
      <c r="AW65" s="120"/>
      <c r="AX65" s="120"/>
      <c r="AY65" s="120"/>
      <c r="AZ65" s="120"/>
      <c r="BA65" s="120"/>
      <c r="BB65" s="121"/>
      <c r="BC65" s="39"/>
      <c r="BD65" s="34"/>
      <c r="BE65" s="34"/>
      <c r="BF65" s="83" t="str">
        <f>IF([11]回答表!X44="●",[11]回答表!V121,IF([11]回答表!AA44="●",[11]回答表!V133,""))</f>
        <v/>
      </c>
      <c r="BG65" s="84"/>
      <c r="BH65" s="84"/>
      <c r="BI65" s="84"/>
      <c r="BJ65" s="83" t="str">
        <f>IF([11]回答表!X44="●",[11]回答表!V122,IF([11]回答表!AA44="●",[11]回答表!V134,""))</f>
        <v/>
      </c>
      <c r="BK65" s="84"/>
      <c r="BL65" s="84"/>
      <c r="BM65" s="84"/>
      <c r="BN65" s="83" t="str">
        <f>IF([11]回答表!X44="●",[11]回答表!V123,IF([11]回答表!AA44="●",[11]回答表!V135,""))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IF([11]回答表!AD44="●","●","")</f>
        <v/>
      </c>
      <c r="O74" s="99"/>
      <c r="P74" s="99"/>
      <c r="Q74" s="100"/>
      <c r="R74" s="38"/>
      <c r="S74" s="38"/>
      <c r="T74" s="38"/>
      <c r="U74" s="107" t="str">
        <f>IF([11]回答表!AD44="●",[11]回答表!B140,"")</f>
        <v/>
      </c>
      <c r="V74" s="108"/>
      <c r="W74" s="108"/>
      <c r="X74" s="108"/>
      <c r="Y74" s="108"/>
      <c r="Z74" s="108"/>
      <c r="AA74" s="108"/>
      <c r="AB74" s="108"/>
      <c r="AC74" s="108"/>
      <c r="AD74" s="108"/>
      <c r="AE74" s="108"/>
      <c r="AF74" s="108"/>
      <c r="AG74" s="108"/>
      <c r="AH74" s="108"/>
      <c r="AI74" s="108"/>
      <c r="AJ74" s="109"/>
      <c r="AK74" s="55"/>
      <c r="AL74" s="55"/>
      <c r="AM74" s="107" t="str">
        <f>IF([11]回答表!AD44="●",[11]回答表!B146,"")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IF([11]回答表!F17="水道事業",IF([11]回答表!X45="●","●",""),"")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IF([11]回答表!F17="水道事業",IF([11]回答表!X45="●",[11]回答表!B158,IF([11]回答表!AA45="●",[11]回答表!B223,"")),"")</f>
        <v/>
      </c>
      <c r="AN86" s="212"/>
      <c r="AO86" s="212"/>
      <c r="AP86" s="212"/>
      <c r="AQ86" s="212"/>
      <c r="AR86" s="212"/>
      <c r="AS86" s="212"/>
      <c r="AT86" s="212"/>
      <c r="AU86" s="212"/>
      <c r="AV86" s="212"/>
      <c r="AW86" s="212"/>
      <c r="AX86" s="212"/>
      <c r="AY86" s="212"/>
      <c r="AZ86" s="212"/>
      <c r="BA86" s="212"/>
      <c r="BB86" s="212"/>
      <c r="BC86" s="213"/>
      <c r="BD86" s="34"/>
      <c r="BE86" s="34"/>
      <c r="BF86" s="116" t="str">
        <f>IF([11]回答表!F17="水道事業",IF([11]回答表!X45="●",[11]回答表!B212,IF([11]回答表!AA45="●",[11]回答表!B278,"")),"")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IF([11]回答表!F17="水道事業",IF([11]回答表!X45="●",[11]回答表!J166,IF([11]回答表!AA45="●",[11]回答表!J231,"")),"")</f>
        <v/>
      </c>
      <c r="V88" s="120"/>
      <c r="W88" s="120"/>
      <c r="X88" s="120"/>
      <c r="Y88" s="120"/>
      <c r="Z88" s="120"/>
      <c r="AA88" s="120"/>
      <c r="AB88" s="121"/>
      <c r="AC88" s="119" t="str">
        <f>IF([11]回答表!F17="水道事業",IF([11]回答表!X45="●",[11]回答表!J173,IF([11]回答表!AA45="●",[11]回答表!J238,"")),"")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IF([11]回答表!F17="水道事業",IF([11]回答表!X45="●",[11]回答表!E212,IF([11]回答表!AA45="●",[11]回答表!E278,"")),"")</f>
        <v/>
      </c>
      <c r="BG89" s="84"/>
      <c r="BH89" s="84"/>
      <c r="BI89" s="84"/>
      <c r="BJ89" s="83" t="str">
        <f>IF([11]回答表!F17="水道事業",IF([11]回答表!X45="●",[11]回答表!E213,IF([11]回答表!AA45="●",[11]回答表!E279,"")),"")</f>
        <v/>
      </c>
      <c r="BK89" s="84"/>
      <c r="BL89" s="84"/>
      <c r="BM89" s="84"/>
      <c r="BN89" s="83" t="str">
        <f>IF([11]回答表!F17="水道事業",IF([11]回答表!X45="●",[11]回答表!E214,IF([11]回答表!AA45="●",[11]回答表!E280,"")),"")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IF([11]回答表!F17="水道事業",IF([11]回答表!AA45="●","●",""),"")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IF([11]回答表!F17="水道事業",IF([11]回答表!X45="●",[11]回答表!J176,IF([11]回答表!AA45="●",[11]回答表!J241,"")),"")</f>
        <v/>
      </c>
      <c r="V93" s="120"/>
      <c r="W93" s="120"/>
      <c r="X93" s="120"/>
      <c r="Y93" s="120"/>
      <c r="Z93" s="120"/>
      <c r="AA93" s="120"/>
      <c r="AB93" s="121"/>
      <c r="AC93" s="119" t="str">
        <f>IF([11]回答表!F17="水道事業",IF([11]回答表!X45="●",[11]回答表!J180,IF([11]回答表!AA45="●",[11]回答表!J245,"")),"")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IF([11]回答表!F17="水道事業",IF([11]回答表!AD45="●","●",""),"")</f>
        <v/>
      </c>
      <c r="O98" s="99"/>
      <c r="P98" s="99"/>
      <c r="Q98" s="100"/>
      <c r="R98" s="38"/>
      <c r="S98" s="38"/>
      <c r="T98" s="38"/>
      <c r="U98" s="107" t="str">
        <f>IF([11]回答表!F17="水道事業",IF([11]回答表!AD45="●",[11]回答表!B289,""),"")</f>
        <v/>
      </c>
      <c r="V98" s="108"/>
      <c r="W98" s="108"/>
      <c r="X98" s="108"/>
      <c r="Y98" s="108"/>
      <c r="Z98" s="108"/>
      <c r="AA98" s="108"/>
      <c r="AB98" s="108"/>
      <c r="AC98" s="108"/>
      <c r="AD98" s="108"/>
      <c r="AE98" s="108"/>
      <c r="AF98" s="108"/>
      <c r="AG98" s="108"/>
      <c r="AH98" s="108"/>
      <c r="AI98" s="108"/>
      <c r="AJ98" s="109"/>
      <c r="AK98" s="55"/>
      <c r="AL98" s="55"/>
      <c r="AM98" s="107" t="str">
        <f>IF([11]回答表!F17="水道事業",IF([11]回答表!AD45="●",[11]回答表!B295,""),"")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IF([11]回答表!F17="簡易水道事業",IF([11]回答表!X45="●",[11]回答表!B158,IF([11]回答表!AA45="●",[11]回答表!B223,"")),"")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IF([11]回答表!F17="簡易水道事業",IF([11]回答表!X45="●",[11]回答表!B212,IF([11]回答表!AA45="●",[11]回答表!B278,"")),"")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IF([11]回答表!F17="簡易水道事業",IF([11]回答表!X45="●","●",""),"")</f>
        <v/>
      </c>
      <c r="O112" s="99"/>
      <c r="P112" s="99"/>
      <c r="Q112" s="100"/>
      <c r="R112" s="38"/>
      <c r="S112" s="38"/>
      <c r="T112" s="38"/>
      <c r="U112" s="119" t="str">
        <f>IF([11]回答表!F17="簡易水道事業",IF([11]回答表!X45="●",[11]回答表!Y185,IF([11]回答表!AA45="●",[11]回答表!Y251,"")),"")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IF([11]回答表!F17="簡易水道事業",IF([11]回答表!X45="●",[11]回答表!E212,IF([11]回答表!AA45="●",[11]回答表!E278,"")),"")</f>
        <v/>
      </c>
      <c r="BG113" s="84"/>
      <c r="BH113" s="84"/>
      <c r="BI113" s="84"/>
      <c r="BJ113" s="83" t="str">
        <f>IF([11]回答表!F17="簡易水道事業",IF([11]回答表!X45="●",[11]回答表!E213,IF([11]回答表!AA45="●",[11]回答表!E279,"")),"")</f>
        <v/>
      </c>
      <c r="BK113" s="84"/>
      <c r="BL113" s="84"/>
      <c r="BM113" s="84"/>
      <c r="BN113" s="83" t="str">
        <f>IF([11]回答表!F17="簡易水道事業",IF([11]回答表!X45="●",[11]回答表!E214,IF([11]回答表!AA45="●",[11]回答表!E280,"")),"")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IF([11]回答表!F17="簡易水道事業",IF([11]回答表!X45="●",[11]回答表!Y186,IF([11]回答表!AA45="●",[11]回答表!Y252,"")),"")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IF([11]回答表!F17="簡易水道事業",IF([11]回答表!AA45="●","●",""),"")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IF([11]回答表!F17="簡易水道事業",IF([11]回答表!X45="●",[11]回答表!Y187,IF([11]回答表!AA45="●",[11]回答表!Y253,"")),"")</f>
        <v/>
      </c>
      <c r="V122" s="120"/>
      <c r="W122" s="120"/>
      <c r="X122" s="120"/>
      <c r="Y122" s="120"/>
      <c r="Z122" s="120"/>
      <c r="AA122" s="120"/>
      <c r="AB122" s="120"/>
      <c r="AC122" s="120"/>
      <c r="AD122" s="120"/>
      <c r="AE122" s="120"/>
      <c r="AF122" s="120"/>
      <c r="AG122" s="120"/>
      <c r="AH122" s="120"/>
      <c r="AI122" s="120"/>
      <c r="AJ122" s="121"/>
      <c r="AK122" s="18"/>
      <c r="AL122" s="18"/>
      <c r="AM122" s="228" t="str">
        <f>IF([11]回答表!F17="簡易水道事業",IF([11]回答表!X45="●",[11]回答表!Y189,IF([11]回答表!AA45="●",[11]回答表!Y255,"")),"")</f>
        <v/>
      </c>
      <c r="AN122" s="228"/>
      <c r="AO122" s="228"/>
      <c r="AP122" s="228"/>
      <c r="AQ122" s="228"/>
      <c r="AR122" s="228"/>
      <c r="AS122" s="228" t="str">
        <f>IF([11]回答表!F17="簡易水道事業",IF([11]回答表!X45="●",[11]回答表!Y190,IF([11]回答表!AA45="●",[11]回答表!Y256,"")),"")</f>
        <v/>
      </c>
      <c r="AT122" s="228"/>
      <c r="AU122" s="228"/>
      <c r="AV122" s="228"/>
      <c r="AW122" s="228"/>
      <c r="AX122" s="228"/>
      <c r="AY122" s="228" t="str">
        <f>IF([11]回答表!F17="簡易水道事業",IF([11]回答表!X45="●",[11]回答表!Y191,IF([11]回答表!AA45="●",[11]回答表!Y257,"")),"")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IF([11]回答表!F17="簡易水道事業",IF([11]回答表!AD45="●","●",""),"")</f>
        <v/>
      </c>
      <c r="O127" s="99"/>
      <c r="P127" s="99"/>
      <c r="Q127" s="100"/>
      <c r="R127" s="38"/>
      <c r="S127" s="38"/>
      <c r="T127" s="38"/>
      <c r="U127" s="107" t="str">
        <f>IF([11]回答表!F17="簡易水道事業",IF([11]回答表!AD45="●",[11]回答表!B289,""),"")</f>
        <v/>
      </c>
      <c r="V127" s="108"/>
      <c r="W127" s="108"/>
      <c r="X127" s="108"/>
      <c r="Y127" s="108"/>
      <c r="Z127" s="108"/>
      <c r="AA127" s="108"/>
      <c r="AB127" s="108"/>
      <c r="AC127" s="108"/>
      <c r="AD127" s="108"/>
      <c r="AE127" s="108"/>
      <c r="AF127" s="108"/>
      <c r="AG127" s="108"/>
      <c r="AH127" s="108"/>
      <c r="AI127" s="108"/>
      <c r="AJ127" s="109"/>
      <c r="AK127" s="55"/>
      <c r="AL127" s="55"/>
      <c r="AM127" s="107" t="str">
        <f>IF([11]回答表!F17="簡易水道事業",IF([11]回答表!AD45="●",[11]回答表!B295,""),"")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IF([11]回答表!F17="下水道事業",IF([11]回答表!X45="●","●",""),"")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IF([11]回答表!F17="下水道事業",IF([11]回答表!X45="●",[11]回答表!B158,IF([11]回答表!AA45="●",[11]回答表!B223,"")),"")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IF([11]回答表!F17="下水道事業",IF([11]回答表!X45="●",[11]回答表!B212,IF([11]回答表!AA45="●",[11]回答表!B278,"")),"")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IF([11]回答表!F17="下水道事業",IF([11]回答表!X45="●",[11]回答表!Y193,IF([11]回答表!AA45="●",[11]回答表!Y259,"")),"")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IF([11]回答表!F17="下水道事業",IF([11]回答表!X45="●",[11]回答表!E212,IF([11]回答表!AA45="●",[11]回答表!E278,"")),"")</f>
        <v/>
      </c>
      <c r="BG142" s="84"/>
      <c r="BH142" s="84"/>
      <c r="BI142" s="84"/>
      <c r="BJ142" s="83" t="str">
        <f>IF([11]回答表!F17="下水道事業",IF([11]回答表!X45="●",[11]回答表!E213,IF([11]回答表!AA45="●",[11]回答表!E279,"")),"")</f>
        <v/>
      </c>
      <c r="BK142" s="84"/>
      <c r="BL142" s="84"/>
      <c r="BM142" s="84"/>
      <c r="BN142" s="83" t="str">
        <f>IF([11]回答表!F17="下水道事業",IF([11]回答表!X45="●",[11]回答表!E214,IF([11]回答表!AA45="●",[11]回答表!E280,"")),"")</f>
        <v/>
      </c>
      <c r="BO142" s="84"/>
      <c r="BP142" s="84"/>
      <c r="BQ142" s="87"/>
      <c r="BR142" s="37"/>
      <c r="BX142" s="211" t="str">
        <f>IF([11]回答表!AQ20="下水道事業",IF([11]回答表!BI48="○",[11]回答表!AM161,IF([11]回答表!BL48="○",[11]回答表!AM226,"")),"")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IF([11]回答表!F17="下水道事業",IF([11]回答表!X45="●",[11]回答表!Y195,IF([11]回答表!AA45="●",[11]回答表!Y261,"")),"")</f>
        <v/>
      </c>
      <c r="V147" s="120"/>
      <c r="W147" s="120"/>
      <c r="X147" s="120"/>
      <c r="Y147" s="120"/>
      <c r="Z147" s="120"/>
      <c r="AA147" s="120"/>
      <c r="AB147" s="121"/>
      <c r="AC147" s="119" t="str">
        <f>IF([11]回答表!F17="下水道事業",IF([11]回答表!X45="●",[11]回答表!Y196,IF([11]回答表!AA45="●",[11]回答表!Y262,"")),"")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IF([11]回答表!F17="下水道事業",IF([11]回答表!X45="●",[11]回答表!Y198,IF([11]回答表!AA45="●",[11]回答表!Y264,"")),"")</f>
        <v/>
      </c>
      <c r="V153" s="120"/>
      <c r="W153" s="120"/>
      <c r="X153" s="120"/>
      <c r="Y153" s="120"/>
      <c r="Z153" s="120"/>
      <c r="AA153" s="120"/>
      <c r="AB153" s="121"/>
      <c r="AC153" s="119" t="str">
        <f>IF([11]回答表!F17="下水道事業",IF([11]回答表!X45="●",[11]回答表!Y199,IF([11]回答表!AA45="●",[11]回答表!Y265,"")),"")</f>
        <v/>
      </c>
      <c r="AD153" s="120"/>
      <c r="AE153" s="120"/>
      <c r="AF153" s="120"/>
      <c r="AG153" s="120"/>
      <c r="AH153" s="120"/>
      <c r="AI153" s="120"/>
      <c r="AJ153" s="121"/>
      <c r="AK153" s="119" t="str">
        <f>IF([11]回答表!F17="下水道事業",IF([11]回答表!X45="●",[11]回答表!Y200,IF([11]回答表!AA45="●",[11]回答表!Y266,"")),"")</f>
        <v/>
      </c>
      <c r="AL153" s="120"/>
      <c r="AM153" s="120"/>
      <c r="AN153" s="120"/>
      <c r="AO153" s="120"/>
      <c r="AP153" s="120"/>
      <c r="AQ153" s="120"/>
      <c r="AR153" s="121"/>
      <c r="AS153" s="119" t="str">
        <f>IF([11]回答表!F17="下水道事業",IF([11]回答表!X45="●",[11]回答表!Y201,IF([11]回答表!AA45="●",[11]回答表!Y267,"")),"")</f>
        <v/>
      </c>
      <c r="AT153" s="120"/>
      <c r="AU153" s="120"/>
      <c r="AV153" s="120"/>
      <c r="AW153" s="120"/>
      <c r="AX153" s="120"/>
      <c r="AY153" s="120"/>
      <c r="AZ153" s="121"/>
      <c r="BA153" s="119" t="str">
        <f>IF([11]回答表!F17="下水道事業",IF([11]回答表!X45="●",[11]回答表!Y202,IF([11]回答表!AA45="●",[11]回答表!Y268,"")),"")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IF([11]回答表!F17="下水道事業",IF([11]回答表!AA45="●","●",""),"")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IF([11]回答表!F17="下水道事業",IF([11]回答表!X45="●",[11]回答表!Y207,IF([11]回答表!AA45="●",[11]回答表!Y273,"")),"")</f>
        <v/>
      </c>
      <c r="V159" s="120"/>
      <c r="W159" s="120"/>
      <c r="X159" s="120"/>
      <c r="Y159" s="120"/>
      <c r="Z159" s="120"/>
      <c r="AA159" s="120"/>
      <c r="AB159" s="121"/>
      <c r="AC159" s="119" t="str">
        <f>IF([11]回答表!F17="下水道事業",IF([11]回答表!X45="●",[11]回答表!Y208,IF([11]回答表!AA45="●",[11]回答表!Y274,"")),"")</f>
        <v/>
      </c>
      <c r="AD159" s="120"/>
      <c r="AE159" s="120"/>
      <c r="AF159" s="120"/>
      <c r="AG159" s="120"/>
      <c r="AH159" s="120"/>
      <c r="AI159" s="120"/>
      <c r="AJ159" s="121"/>
      <c r="AK159" s="119" t="str">
        <f>IF([11]回答表!F17="下水道事業",IF([11]回答表!X45="●",[11]回答表!Y209,IF([11]回答表!AA45="●",[11]回答表!Y275,"")),"")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IF([11]回答表!F17="下水道事業",IF([11]回答表!AD45="●","●",""),"")</f>
        <v/>
      </c>
      <c r="O164" s="99"/>
      <c r="P164" s="99"/>
      <c r="Q164" s="100"/>
      <c r="R164" s="38"/>
      <c r="S164" s="38"/>
      <c r="T164" s="38"/>
      <c r="U164" s="107" t="str">
        <f>IF([11]回答表!F17="下水道事業",IF([11]回答表!AD45="●",[11]回答表!B289,""),"")</f>
        <v/>
      </c>
      <c r="V164" s="108"/>
      <c r="W164" s="108"/>
      <c r="X164" s="108"/>
      <c r="Y164" s="108"/>
      <c r="Z164" s="108"/>
      <c r="AA164" s="108"/>
      <c r="AB164" s="108"/>
      <c r="AC164" s="108"/>
      <c r="AD164" s="108"/>
      <c r="AE164" s="108"/>
      <c r="AF164" s="108"/>
      <c r="AG164" s="108"/>
      <c r="AH164" s="108"/>
      <c r="AI164" s="108"/>
      <c r="AJ164" s="109"/>
      <c r="AK164" s="55"/>
      <c r="AL164" s="55"/>
      <c r="AM164" s="107" t="str">
        <f>IF([11]回答表!F17="下水道事業",IF([11]回答表!AD45="●",[11]回答表!B295,""),"")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IF([11]回答表!BD17="●",IF([11]回答表!X45="●","●",""),"")</f>
        <v/>
      </c>
      <c r="O176" s="99"/>
      <c r="P176" s="99"/>
      <c r="Q176" s="100"/>
      <c r="R176" s="38"/>
      <c r="S176" s="38"/>
      <c r="T176" s="38"/>
      <c r="U176" s="107" t="str">
        <f>IF([11]回答表!BD17="●",IF([11]回答表!X45="●",[11]回答表!B158,IF([11]回答表!AA45="●",[11]回答表!B223,"")),"")</f>
        <v/>
      </c>
      <c r="V176" s="108"/>
      <c r="W176" s="108"/>
      <c r="X176" s="108"/>
      <c r="Y176" s="108"/>
      <c r="Z176" s="108"/>
      <c r="AA176" s="108"/>
      <c r="AB176" s="108"/>
      <c r="AC176" s="108"/>
      <c r="AD176" s="108"/>
      <c r="AE176" s="108"/>
      <c r="AF176" s="108"/>
      <c r="AG176" s="108"/>
      <c r="AH176" s="108"/>
      <c r="AI176" s="108"/>
      <c r="AJ176" s="109"/>
      <c r="AK176" s="49"/>
      <c r="AL176" s="49"/>
      <c r="AM176" s="116" t="str">
        <f>IF([11]回答表!BD17="●",IF([11]回答表!X45="●",[11]回答表!B212,IF([11]回答表!AA45="●",[11]回答表!B278,"")),"")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IF([11]回答表!BD17="●",IF([11]回答表!X45="●",[11]回答表!E212,IF([11]回答表!AA45="●",[11]回答表!E278,"")),"")</f>
        <v/>
      </c>
      <c r="AN179" s="84"/>
      <c r="AO179" s="84"/>
      <c r="AP179" s="84"/>
      <c r="AQ179" s="83" t="str">
        <f>IF([11]回答表!BD17="●",IF([11]回答表!X45="●",[11]回答表!E213,IF([11]回答表!AA45="●",[11]回答表!E279,"")),"")</f>
        <v/>
      </c>
      <c r="AR179" s="84"/>
      <c r="AS179" s="84"/>
      <c r="AT179" s="84"/>
      <c r="AU179" s="83" t="str">
        <f>IF([11]回答表!BD17="●",IF([11]回答表!X45="●",[11]回答表!E214,IF([11]回答表!AA45="●",[11]回答表!E280,"")),"")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IF([11]回答表!BD17="●",IF([11]回答表!AA45="●","●",""),"")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IF([11]回答表!BD17="●",IF([11]回答表!AD45="●","●",""),"")</f>
        <v/>
      </c>
      <c r="O188" s="99"/>
      <c r="P188" s="99"/>
      <c r="Q188" s="100"/>
      <c r="R188" s="38"/>
      <c r="S188" s="38"/>
      <c r="T188" s="38"/>
      <c r="U188" s="107" t="str">
        <f>IF([11]回答表!BD17="●",IF([11]回答表!AD45="●",[11]回答表!B289,""),"")</f>
        <v/>
      </c>
      <c r="V188" s="108"/>
      <c r="W188" s="108"/>
      <c r="X188" s="108"/>
      <c r="Y188" s="108"/>
      <c r="Z188" s="108"/>
      <c r="AA188" s="108"/>
      <c r="AB188" s="108"/>
      <c r="AC188" s="108"/>
      <c r="AD188" s="108"/>
      <c r="AE188" s="108"/>
      <c r="AF188" s="108"/>
      <c r="AG188" s="108"/>
      <c r="AH188" s="108"/>
      <c r="AI188" s="108"/>
      <c r="AJ188" s="109"/>
      <c r="AK188" s="55"/>
      <c r="AL188" s="55"/>
      <c r="AM188" s="107" t="str">
        <f>IF([11]回答表!BD17="●",IF([11]回答表!AD45="●",[11]回答表!B295,""),"")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IF([11]回答表!X46="●","●","")</f>
        <v/>
      </c>
      <c r="O200" s="99"/>
      <c r="P200" s="99"/>
      <c r="Q200" s="100"/>
      <c r="R200" s="38"/>
      <c r="S200" s="38"/>
      <c r="T200" s="38"/>
      <c r="U200" s="107" t="str">
        <f>IF([11]回答表!X46="●",[11]回答表!B307,IF([11]回答表!AA46="●",[11]回答表!B324,""))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IF([11]回答表!X46="●",[11]回答表!U313,IF([11]回答表!AA46="●",[11]回答表!U330,""))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IF([11]回答表!X46="●",[11]回答表!G313,IF([11]回答表!AA46="●",[11]回答表!G330,""))</f>
        <v/>
      </c>
      <c r="AN203" s="120"/>
      <c r="AO203" s="120"/>
      <c r="AP203" s="120"/>
      <c r="AQ203" s="120"/>
      <c r="AR203" s="120"/>
      <c r="AS203" s="120"/>
      <c r="AT203" s="121"/>
      <c r="AU203" s="119" t="str">
        <f>IF([11]回答表!X46="●",[11]回答表!G314,IF([11]回答表!AA46="●",[11]回答表!G331,""))</f>
        <v/>
      </c>
      <c r="AV203" s="120"/>
      <c r="AW203" s="120"/>
      <c r="AX203" s="120"/>
      <c r="AY203" s="120"/>
      <c r="AZ203" s="120"/>
      <c r="BA203" s="120"/>
      <c r="BB203" s="121"/>
      <c r="BC203" s="39"/>
      <c r="BD203" s="34"/>
      <c r="BE203" s="34"/>
      <c r="BF203" s="83" t="str">
        <f>IF([11]回答表!X46="●",[11]回答表!X313,IF([11]回答表!AA46="●",[11]回答表!X330,""))</f>
        <v/>
      </c>
      <c r="BG203" s="84"/>
      <c r="BH203" s="84"/>
      <c r="BI203" s="84"/>
      <c r="BJ203" s="83" t="str">
        <f>IF([11]回答表!X46="●",[11]回答表!X314,IF([11]回答表!AA46="●",[11]回答表!X331,""))</f>
        <v/>
      </c>
      <c r="BK203" s="84"/>
      <c r="BL203" s="84"/>
      <c r="BM203" s="87"/>
      <c r="BN203" s="83" t="str">
        <f>IF([11]回答表!X46="●",[11]回答表!X315,IF([11]回答表!AA46="●",[11]回答表!X332,""))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IF([11]回答表!AD46="●","●","")</f>
        <v/>
      </c>
      <c r="O212" s="99"/>
      <c r="P212" s="99"/>
      <c r="Q212" s="100"/>
      <c r="R212" s="38"/>
      <c r="S212" s="38"/>
      <c r="T212" s="38"/>
      <c r="U212" s="107" t="str">
        <f>IF([11]回答表!AD46="●",[11]回答表!B337,"")</f>
        <v/>
      </c>
      <c r="V212" s="108"/>
      <c r="W212" s="108"/>
      <c r="X212" s="108"/>
      <c r="Y212" s="108"/>
      <c r="Z212" s="108"/>
      <c r="AA212" s="108"/>
      <c r="AB212" s="108"/>
      <c r="AC212" s="108"/>
      <c r="AD212" s="108"/>
      <c r="AE212" s="108"/>
      <c r="AF212" s="108"/>
      <c r="AG212" s="108"/>
      <c r="AH212" s="108"/>
      <c r="AI212" s="108"/>
      <c r="AJ212" s="109"/>
      <c r="AK212" s="62"/>
      <c r="AL212" s="62"/>
      <c r="AM212" s="107" t="str">
        <f>IF([11]回答表!AD46="●",[11]回答表!B343,"")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IF([11]回答表!X47="●","●","")</f>
        <v/>
      </c>
      <c r="O224" s="99"/>
      <c r="P224" s="99"/>
      <c r="Q224" s="100"/>
      <c r="R224" s="38"/>
      <c r="S224" s="38"/>
      <c r="T224" s="38"/>
      <c r="U224" s="107" t="str">
        <f>IF([11]回答表!X47="●",[11]回答表!B356,IF([11]回答表!AA47="●",[11]回答表!B379,""))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IF([11]回答表!X47="●",[11]回答表!B362,"")</f>
        <v/>
      </c>
      <c r="AO224" s="182"/>
      <c r="AP224" s="182"/>
      <c r="AQ224" s="182"/>
      <c r="AR224" s="182"/>
      <c r="AS224" s="182"/>
      <c r="AT224" s="182"/>
      <c r="AU224" s="182"/>
      <c r="AV224" s="182"/>
      <c r="AW224" s="182"/>
      <c r="AX224" s="182"/>
      <c r="AY224" s="182"/>
      <c r="AZ224" s="182"/>
      <c r="BA224" s="182"/>
      <c r="BB224" s="183"/>
      <c r="BC224" s="39"/>
      <c r="BD224" s="34"/>
      <c r="BE224" s="34"/>
      <c r="BF224" s="116" t="str">
        <f>IF([11]回答表!X47="●",[11]回答表!B368,IF([11]回答表!AA47="●",[11]回答表!B385,""))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IF([11]回答表!X47="●",[11]回答表!E368,IF([11]回答表!AA47="●",[11]回答表!E385,""))</f>
        <v/>
      </c>
      <c r="BG227" s="84"/>
      <c r="BH227" s="84"/>
      <c r="BI227" s="84"/>
      <c r="BJ227" s="83" t="str">
        <f>IF([11]回答表!X47="●",[11]回答表!E369,IF([11]回答表!AA47="●",[11]回答表!E386,""))</f>
        <v/>
      </c>
      <c r="BK227" s="84"/>
      <c r="BL227" s="84"/>
      <c r="BM227" s="87"/>
      <c r="BN227" s="83" t="str">
        <f>IF([11]回答表!X47="●",[11]回答表!E370,IF([11]回答表!AA47="●",[11]回答表!E387,""))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IF([11]回答表!AD47="●","●","")</f>
        <v/>
      </c>
      <c r="O236" s="99"/>
      <c r="P236" s="99"/>
      <c r="Q236" s="100"/>
      <c r="R236" s="38"/>
      <c r="S236" s="38"/>
      <c r="T236" s="38"/>
      <c r="U236" s="107" t="str">
        <f>IF([11]回答表!AD47="●",[11]回答表!B392,"")</f>
        <v/>
      </c>
      <c r="V236" s="108"/>
      <c r="W236" s="108"/>
      <c r="X236" s="108"/>
      <c r="Y236" s="108"/>
      <c r="Z236" s="108"/>
      <c r="AA236" s="108"/>
      <c r="AB236" s="108"/>
      <c r="AC236" s="108"/>
      <c r="AD236" s="108"/>
      <c r="AE236" s="108"/>
      <c r="AF236" s="108"/>
      <c r="AG236" s="108"/>
      <c r="AH236" s="108"/>
      <c r="AI236" s="108"/>
      <c r="AJ236" s="109"/>
      <c r="AK236" s="62"/>
      <c r="AL236" s="62"/>
      <c r="AM236" s="107" t="str">
        <f>IF([11]回答表!AD47="●",[11]回答表!B398,"")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IF([11]回答表!X48="●","●","")</f>
        <v/>
      </c>
      <c r="O248" s="99"/>
      <c r="P248" s="99"/>
      <c r="Q248" s="100"/>
      <c r="R248" s="38"/>
      <c r="S248" s="38"/>
      <c r="T248" s="38"/>
      <c r="U248" s="107" t="str">
        <f>IF([11]回答表!X48="●",[11]回答表!B411,IF([11]回答表!AA48="●",[11]回答表!B425,""))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IF([11]回答表!X48="●",[11]回答表!BC418,IF([11]回答表!AA48="●",[11]回答表!BC432,""))</f>
        <v/>
      </c>
      <c r="AR248" s="151"/>
      <c r="AS248" s="151"/>
      <c r="AT248" s="151"/>
      <c r="AU248" s="173" t="s">
        <v>73</v>
      </c>
      <c r="AV248" s="174"/>
      <c r="AW248" s="174"/>
      <c r="AX248" s="175"/>
      <c r="AY248" s="151" t="str">
        <f>IF([11]回答表!X48="●",[11]回答表!BC423,IF([11]回答表!AA48="●",[11]回答表!BC437,""))</f>
        <v/>
      </c>
      <c r="AZ248" s="151"/>
      <c r="BA248" s="151"/>
      <c r="BB248" s="151"/>
      <c r="BC248" s="39"/>
      <c r="BD248" s="34"/>
      <c r="BE248" s="34"/>
      <c r="BF248" s="116" t="str">
        <f>IF([11]回答表!X48="●",[11]回答表!S417,IF([11]回答表!AA48="●",[11]回答表!S431,""))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IF([11]回答表!X48="●",[11]回答表!BC419,IF([11]回答表!AA48="●",[11]回答表!BC433,""))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IF([11]回答表!X48="●",[11]回答表!V417,IF([11]回答表!AA48="●",[11]回答表!V431,""))</f>
        <v/>
      </c>
      <c r="BG251" s="84"/>
      <c r="BH251" s="84"/>
      <c r="BI251" s="84"/>
      <c r="BJ251" s="83" t="str">
        <f>IF([11]回答表!X48="●",[11]回答表!V418,IF([11]回答表!AA48="●",[11]回答表!V432,""))</f>
        <v/>
      </c>
      <c r="BK251" s="84"/>
      <c r="BL251" s="84"/>
      <c r="BM251" s="87"/>
      <c r="BN251" s="83" t="str">
        <f>IF([11]回答表!X48="●",[11]回答表!V419,IF([11]回答表!AA48="●",[11]回答表!V433,""))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IF([11]回答表!X48="●",[11]回答表!BC420,IF([11]回答表!AA48="●",[11]回答表!BC434,""))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IF([11]回答表!X48="●",[11]回答表!BC424,IF([11]回答表!AA48="●",[11]回答表!BC438,""))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IF([11]回答表!X48="●",[11]回答表!BC421,IF([11]回答表!AA48="●",[11]回答表!BC435,""))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IF([11]回答表!X48="●",[11]回答表!BC422,IF([11]回答表!AA48="●",[11]回答表!BC436,""))</f>
        <v/>
      </c>
      <c r="AR256" s="151"/>
      <c r="AS256" s="151"/>
      <c r="AT256" s="151"/>
      <c r="AU256" s="152" t="s">
        <v>79</v>
      </c>
      <c r="AV256" s="153"/>
      <c r="AW256" s="153"/>
      <c r="AX256" s="154"/>
      <c r="AY256" s="158" t="str">
        <f>IF([11]回答表!X48="●",[11]回答表!BC425,IF([11]回答表!AA48="●",[11]回答表!BC439,""))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IF([11]回答表!AD48="●","●","")</f>
        <v/>
      </c>
      <c r="O260" s="99"/>
      <c r="P260" s="99"/>
      <c r="Q260" s="100"/>
      <c r="R260" s="38"/>
      <c r="S260" s="38"/>
      <c r="T260" s="38"/>
      <c r="U260" s="107" t="str">
        <f>IF([11]回答表!AD48="●",[11]回答表!B439,"")</f>
        <v/>
      </c>
      <c r="V260" s="108"/>
      <c r="W260" s="108"/>
      <c r="X260" s="108"/>
      <c r="Y260" s="108"/>
      <c r="Z260" s="108"/>
      <c r="AA260" s="108"/>
      <c r="AB260" s="108"/>
      <c r="AC260" s="108"/>
      <c r="AD260" s="108"/>
      <c r="AE260" s="108"/>
      <c r="AF260" s="108"/>
      <c r="AG260" s="108"/>
      <c r="AH260" s="108"/>
      <c r="AI260" s="108"/>
      <c r="AJ260" s="109"/>
      <c r="AK260" s="55"/>
      <c r="AL260" s="55"/>
      <c r="AM260" s="107" t="str">
        <f>IF([11]回答表!AD48="●",[11]回答表!B445,"")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IF([11]回答表!X49="●","●","")</f>
        <v/>
      </c>
      <c r="O271" s="99"/>
      <c r="P271" s="99"/>
      <c r="Q271" s="100"/>
      <c r="R271" s="38"/>
      <c r="S271" s="38"/>
      <c r="T271" s="38"/>
      <c r="U271" s="107" t="str">
        <f>IF([11]回答表!X49="●",[11]回答表!B458,IF([11]回答表!AA49="●",[11]回答表!B475,""))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IF([11]回答表!X49="●",[11]回答表!B468,IF([11]回答表!AA49="●",[11]回答表!B485,""))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IF([11]回答表!X49="●",[11]回答表!G464,IF([11]回答表!AA49="●",[11]回答表!G481,""))</f>
        <v/>
      </c>
      <c r="AN273" s="120"/>
      <c r="AO273" s="120"/>
      <c r="AP273" s="120"/>
      <c r="AQ273" s="120"/>
      <c r="AR273" s="120"/>
      <c r="AS273" s="120"/>
      <c r="AT273" s="121"/>
      <c r="AU273" s="119" t="str">
        <f>IF([11]回答表!X49="●",[11]回答表!G465,IF([11]回答表!AA49="●",[11]回答表!G482,""))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IF([11]回答表!X49="●",[11]回答表!E468,IF([11]回答表!AA49="●",[11]回答表!E485,""))</f>
        <v/>
      </c>
      <c r="BG274" s="84"/>
      <c r="BH274" s="84"/>
      <c r="BI274" s="84"/>
      <c r="BJ274" s="83" t="str">
        <f>IF([11]回答表!X49="●",[11]回答表!E469,IF([11]回答表!AA49="●",[11]回答表!E486,""))</f>
        <v/>
      </c>
      <c r="BK274" s="84"/>
      <c r="BL274" s="84"/>
      <c r="BM274" s="87"/>
      <c r="BN274" s="83" t="str">
        <f>IF([11]回答表!X49="●",[11]回答表!E470,IF([11]回答表!AA49="●",[11]回答表!E487,""))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IF([11]回答表!AD49="●","●","")</f>
        <v/>
      </c>
      <c r="O283" s="99"/>
      <c r="P283" s="99"/>
      <c r="Q283" s="100"/>
      <c r="R283" s="38"/>
      <c r="S283" s="38"/>
      <c r="T283" s="38"/>
      <c r="U283" s="107" t="str">
        <f>IF([11]回答表!AD49="●",[11]回答表!B492,"")</f>
        <v/>
      </c>
      <c r="V283" s="108"/>
      <c r="W283" s="108"/>
      <c r="X283" s="108"/>
      <c r="Y283" s="108"/>
      <c r="Z283" s="108"/>
      <c r="AA283" s="108"/>
      <c r="AB283" s="108"/>
      <c r="AC283" s="108"/>
      <c r="AD283" s="108"/>
      <c r="AE283" s="108"/>
      <c r="AF283" s="108"/>
      <c r="AG283" s="108"/>
      <c r="AH283" s="108"/>
      <c r="AI283" s="108"/>
      <c r="AJ283" s="109"/>
      <c r="AK283" s="49"/>
      <c r="AL283" s="49"/>
      <c r="AM283" s="107" t="str">
        <f>IF([11]回答表!AD49="●",[11]回答表!B498,"")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IF([11]回答表!R50="●",[11]回答表!B511,"")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70849-0A7A-4283-8824-FC6D28A7EFE1}">
  <sheetPr>
    <pageSetUpPr fitToPage="1"/>
  </sheetPr>
  <dimension ref="A1:CN315"/>
  <sheetViews>
    <sheetView showZeros="0" view="pageBreakPreview" topLeftCell="A4"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IF(COUNTIF([9]回答表!K15,"*")&gt;0,[9]回答表!K15,"")</f>
        <v>大館市</v>
      </c>
      <c r="D11" s="299"/>
      <c r="E11" s="299"/>
      <c r="F11" s="299"/>
      <c r="G11" s="299"/>
      <c r="H11" s="299"/>
      <c r="I11" s="299"/>
      <c r="J11" s="299"/>
      <c r="K11" s="299"/>
      <c r="L11" s="299"/>
      <c r="M11" s="299"/>
      <c r="N11" s="299"/>
      <c r="O11" s="299"/>
      <c r="P11" s="299"/>
      <c r="Q11" s="299"/>
      <c r="R11" s="299"/>
      <c r="S11" s="299"/>
      <c r="T11" s="299"/>
      <c r="U11" s="306" t="str">
        <f>IF(COUNTIF([9]回答表!F17,"*")&gt;0,[9]回答表!F17,"")</f>
        <v>工業用水道事業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IF(COUNTIF([9]回答表!W17,"*")&gt;0,[9]回答表!W17,"")</f>
        <v>―</v>
      </c>
      <c r="AP11" s="301"/>
      <c r="AQ11" s="301"/>
      <c r="AR11" s="301"/>
      <c r="AS11" s="301"/>
      <c r="AT11" s="301"/>
      <c r="AU11" s="301"/>
      <c r="AV11" s="301"/>
      <c r="AW11" s="301"/>
      <c r="AX11" s="301"/>
      <c r="AY11" s="301"/>
      <c r="AZ11" s="301"/>
      <c r="BA11" s="301"/>
      <c r="BB11" s="301"/>
      <c r="BC11" s="301"/>
      <c r="BD11" s="301"/>
      <c r="BE11" s="301"/>
      <c r="BF11" s="302"/>
      <c r="BG11" s="305" t="str">
        <f>IF(COUNTIF([9]回答表!F19,"*")&gt;0,[9]回答表!F19,"")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IF([9]回答表!R43="●","●","")</f>
        <v/>
      </c>
      <c r="E24" s="123"/>
      <c r="F24" s="123"/>
      <c r="G24" s="123"/>
      <c r="H24" s="123"/>
      <c r="I24" s="123"/>
      <c r="J24" s="124"/>
      <c r="K24" s="122" t="str">
        <f>IF([9]回答表!R44="●","●","")</f>
        <v/>
      </c>
      <c r="L24" s="123"/>
      <c r="M24" s="123"/>
      <c r="N24" s="123"/>
      <c r="O24" s="123"/>
      <c r="P24" s="123"/>
      <c r="Q24" s="124"/>
      <c r="R24" s="122" t="str">
        <f>IF([9]回答表!R45="●","●","")</f>
        <v/>
      </c>
      <c r="S24" s="123"/>
      <c r="T24" s="123"/>
      <c r="U24" s="123"/>
      <c r="V24" s="123"/>
      <c r="W24" s="123"/>
      <c r="X24" s="124"/>
      <c r="Y24" s="122" t="str">
        <f>IF([9]回答表!R46="●","●","")</f>
        <v/>
      </c>
      <c r="Z24" s="123"/>
      <c r="AA24" s="123"/>
      <c r="AB24" s="123"/>
      <c r="AC24" s="123"/>
      <c r="AD24" s="123"/>
      <c r="AE24" s="124"/>
      <c r="AF24" s="122" t="str">
        <f>IF([9]回答表!R47="●","●","")</f>
        <v/>
      </c>
      <c r="AG24" s="123"/>
      <c r="AH24" s="123"/>
      <c r="AI24" s="123"/>
      <c r="AJ24" s="123"/>
      <c r="AK24" s="123"/>
      <c r="AL24" s="124"/>
      <c r="AM24" s="122" t="str">
        <f>IF([9]回答表!R48="●","●","")</f>
        <v/>
      </c>
      <c r="AN24" s="123"/>
      <c r="AO24" s="123"/>
      <c r="AP24" s="123"/>
      <c r="AQ24" s="123"/>
      <c r="AR24" s="123"/>
      <c r="AS24" s="124"/>
      <c r="AT24" s="122" t="str">
        <f>IF([9]回答表!R49="●","●","")</f>
        <v/>
      </c>
      <c r="AU24" s="123"/>
      <c r="AV24" s="123"/>
      <c r="AW24" s="123"/>
      <c r="AX24" s="123"/>
      <c r="AY24" s="123"/>
      <c r="AZ24" s="124"/>
      <c r="BA24" s="18"/>
      <c r="BB24" s="119" t="str">
        <f>IF([9]回答表!R50="●","●","")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IF([9]回答表!X43="●","●","")</f>
        <v/>
      </c>
      <c r="O36" s="99"/>
      <c r="P36" s="99"/>
      <c r="Q36" s="100"/>
      <c r="R36" s="38"/>
      <c r="S36" s="38"/>
      <c r="T36" s="38"/>
      <c r="U36" s="107" t="str">
        <f>IF([9]回答表!X43="●",[9]回答表!B59,IF([9]回答表!AA43="●",[9]回答表!B79,""))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IF([9]回答表!X43="●",[9]回答表!S65,IF([9]回答表!AA43="●",[9]回答表!S85,""))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IF([9]回答表!X43="●",[9]回答表!G65,IF([9]回答表!AA43="●",[9]回答表!G85,""))</f>
        <v/>
      </c>
      <c r="AN38" s="120"/>
      <c r="AO38" s="120"/>
      <c r="AP38" s="120"/>
      <c r="AQ38" s="120"/>
      <c r="AR38" s="120"/>
      <c r="AS38" s="120"/>
      <c r="AT38" s="121"/>
      <c r="AU38" s="119" t="str">
        <f>IF([9]回答表!X43="●",[9]回答表!G66,IF([9]回答表!AA43="●",[9]回答表!G86,""))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IF([9]回答表!X43="●",[9]回答表!V65,IF([9]回答表!AA43="●",[9]回答表!V85,""))</f>
        <v/>
      </c>
      <c r="BG39" s="249"/>
      <c r="BH39" s="249"/>
      <c r="BI39" s="250"/>
      <c r="BJ39" s="83" t="str">
        <f>IF([9]回答表!X43="●",[9]回答表!V66,IF([9]回答表!AA43="●",[9]回答表!V86,""))</f>
        <v/>
      </c>
      <c r="BK39" s="249"/>
      <c r="BL39" s="249"/>
      <c r="BM39" s="250"/>
      <c r="BN39" s="83" t="str">
        <f>IF([9]回答表!X43="●",[9]回答表!V67,IF([9]回答表!AA43="●",[9]回答表!V87,""))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IF([9]回答表!X43="●",[9]回答表!O71,IF([9]回答表!AA43="●",[9]回答表!O91,""))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IF([9]回答表!X43="●",[9]回答表!O72,IF([9]回答表!AA43="●",[9]回答表!O92,""))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IF([9]回答表!AA43="●","●","")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IF([9]回答表!X43="●",[9]回答表!O73,IF([9]回答表!AA43="●",[9]回答表!O93,""))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IF([9]回答表!X43="●",[9]回答表!O74,IF([9]回答表!AA43="●",[9]回答表!O94,""))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IF([9]回答表!X43="●",[9]回答表!AG71,IF([9]回答表!AA43="●",[9]回答表!AG91,""))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IF([9]回答表!X43="●",[9]回答表!AG72,IF([9]回答表!AA43="●",[9]回答表!AG92,""))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IF([9]回答表!AD43="●","●","")</f>
        <v/>
      </c>
      <c r="O51" s="99"/>
      <c r="P51" s="99"/>
      <c r="Q51" s="100"/>
      <c r="R51" s="38"/>
      <c r="S51" s="38"/>
      <c r="T51" s="38"/>
      <c r="U51" s="107" t="str">
        <f>IF([9]回答表!AD43="●",[9]回答表!B99,"")</f>
        <v/>
      </c>
      <c r="V51" s="108"/>
      <c r="W51" s="108"/>
      <c r="X51" s="108"/>
      <c r="Y51" s="108"/>
      <c r="Z51" s="108"/>
      <c r="AA51" s="108"/>
      <c r="AB51" s="108"/>
      <c r="AC51" s="108"/>
      <c r="AD51" s="108"/>
      <c r="AE51" s="108"/>
      <c r="AF51" s="108"/>
      <c r="AG51" s="108"/>
      <c r="AH51" s="108"/>
      <c r="AI51" s="108"/>
      <c r="AJ51" s="109"/>
      <c r="AK51" s="55"/>
      <c r="AL51" s="55"/>
      <c r="AM51" s="107" t="str">
        <f>IF([9]回答表!AD43="●",[9]回答表!B104,"")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IF([9]回答表!X44="●","●","")</f>
        <v/>
      </c>
      <c r="O62" s="99"/>
      <c r="P62" s="99"/>
      <c r="Q62" s="100"/>
      <c r="R62" s="38"/>
      <c r="S62" s="38"/>
      <c r="T62" s="38"/>
      <c r="U62" s="107" t="str">
        <f>IF([9]回答表!X44="●",[9]回答表!B115,IF([9]回答表!AA44="●",[9]回答表!B127,""))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IF([9]回答表!X44="●",[9]回答表!S121,IF([9]回答表!AA44="●",[9]回答表!S133,""))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IF([9]回答表!X44="●",[9]回答表!J121,IF([9]回答表!AA44="●",[9]回答表!J133,""))</f>
        <v/>
      </c>
      <c r="AN65" s="120"/>
      <c r="AO65" s="120"/>
      <c r="AP65" s="120"/>
      <c r="AQ65" s="120"/>
      <c r="AR65" s="120"/>
      <c r="AS65" s="120"/>
      <c r="AT65" s="121"/>
      <c r="AU65" s="119" t="str">
        <f>IF([9]回答表!X44="●",[9]回答表!J122,IF([9]回答表!AA44="●",[9]回答表!J134,""))</f>
        <v/>
      </c>
      <c r="AV65" s="120"/>
      <c r="AW65" s="120"/>
      <c r="AX65" s="120"/>
      <c r="AY65" s="120"/>
      <c r="AZ65" s="120"/>
      <c r="BA65" s="120"/>
      <c r="BB65" s="121"/>
      <c r="BC65" s="39"/>
      <c r="BD65" s="34"/>
      <c r="BE65" s="34"/>
      <c r="BF65" s="83" t="str">
        <f>IF([9]回答表!X44="●",[9]回答表!V121,IF([9]回答表!AA44="●",[9]回答表!V133,""))</f>
        <v/>
      </c>
      <c r="BG65" s="84"/>
      <c r="BH65" s="84"/>
      <c r="BI65" s="84"/>
      <c r="BJ65" s="83" t="str">
        <f>IF([9]回答表!X44="●",[9]回答表!V122,IF([9]回答表!AA44="●",[9]回答表!V134,""))</f>
        <v/>
      </c>
      <c r="BK65" s="84"/>
      <c r="BL65" s="84"/>
      <c r="BM65" s="84"/>
      <c r="BN65" s="83" t="str">
        <f>IF([9]回答表!X44="●",[9]回答表!V123,IF([9]回答表!AA44="●",[9]回答表!V135,""))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IF([9]回答表!AA44="●","●","")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IF([9]回答表!AD44="●","●","")</f>
        <v/>
      </c>
      <c r="O74" s="99"/>
      <c r="P74" s="99"/>
      <c r="Q74" s="100"/>
      <c r="R74" s="38"/>
      <c r="S74" s="38"/>
      <c r="T74" s="38"/>
      <c r="U74" s="107" t="str">
        <f>IF([9]回答表!AD44="●",[9]回答表!B140,"")</f>
        <v/>
      </c>
      <c r="V74" s="108"/>
      <c r="W74" s="108"/>
      <c r="X74" s="108"/>
      <c r="Y74" s="108"/>
      <c r="Z74" s="108"/>
      <c r="AA74" s="108"/>
      <c r="AB74" s="108"/>
      <c r="AC74" s="108"/>
      <c r="AD74" s="108"/>
      <c r="AE74" s="108"/>
      <c r="AF74" s="108"/>
      <c r="AG74" s="108"/>
      <c r="AH74" s="108"/>
      <c r="AI74" s="108"/>
      <c r="AJ74" s="109"/>
      <c r="AK74" s="55"/>
      <c r="AL74" s="55"/>
      <c r="AM74" s="107" t="str">
        <f>IF([9]回答表!AD44="●",[9]回答表!B146,"")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IF([9]回答表!F17="水道事業",IF([9]回答表!X45="●","●",""),"")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IF([9]回答表!F17="水道事業",IF([9]回答表!X45="●",[9]回答表!B158,IF([9]回答表!AA45="●",[9]回答表!B223,"")),"")</f>
        <v/>
      </c>
      <c r="AN86" s="212"/>
      <c r="AO86" s="212"/>
      <c r="AP86" s="212"/>
      <c r="AQ86" s="212"/>
      <c r="AR86" s="212"/>
      <c r="AS86" s="212"/>
      <c r="AT86" s="212"/>
      <c r="AU86" s="212"/>
      <c r="AV86" s="212"/>
      <c r="AW86" s="212"/>
      <c r="AX86" s="212"/>
      <c r="AY86" s="212"/>
      <c r="AZ86" s="212"/>
      <c r="BA86" s="212"/>
      <c r="BB86" s="212"/>
      <c r="BC86" s="213"/>
      <c r="BD86" s="34"/>
      <c r="BE86" s="34"/>
      <c r="BF86" s="116" t="str">
        <f>IF([9]回答表!F17="水道事業",IF([9]回答表!X45="●",[9]回答表!B212,IF([9]回答表!AA45="●",[9]回答表!B278,"")),"")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IF([9]回答表!F17="水道事業",IF([9]回答表!X45="●",[9]回答表!J166,IF([9]回答表!AA45="●",[9]回答表!J231,"")),"")</f>
        <v/>
      </c>
      <c r="V88" s="120"/>
      <c r="W88" s="120"/>
      <c r="X88" s="120"/>
      <c r="Y88" s="120"/>
      <c r="Z88" s="120"/>
      <c r="AA88" s="120"/>
      <c r="AB88" s="121"/>
      <c r="AC88" s="119" t="str">
        <f>IF([9]回答表!F17="水道事業",IF([9]回答表!X45="●",[9]回答表!J173,IF([9]回答表!AA45="●",[9]回答表!J238,"")),"")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IF([9]回答表!F17="水道事業",IF([9]回答表!X45="●",[9]回答表!E212,IF([9]回答表!AA45="●",[9]回答表!E278,"")),"")</f>
        <v/>
      </c>
      <c r="BG89" s="84"/>
      <c r="BH89" s="84"/>
      <c r="BI89" s="84"/>
      <c r="BJ89" s="83" t="str">
        <f>IF([9]回答表!F17="水道事業",IF([9]回答表!X45="●",[9]回答表!E213,IF([9]回答表!AA45="●",[9]回答表!E279,"")),"")</f>
        <v/>
      </c>
      <c r="BK89" s="84"/>
      <c r="BL89" s="84"/>
      <c r="BM89" s="84"/>
      <c r="BN89" s="83" t="str">
        <f>IF([9]回答表!F17="水道事業",IF([9]回答表!X45="●",[9]回答表!E214,IF([9]回答表!AA45="●",[9]回答表!E280,"")),"")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IF([9]回答表!F17="水道事業",IF([9]回答表!AA45="●","●",""),"")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IF([9]回答表!F17="水道事業",IF([9]回答表!X45="●",[9]回答表!J176,IF([9]回答表!AA45="●",[9]回答表!J241,"")),"")</f>
        <v/>
      </c>
      <c r="V93" s="120"/>
      <c r="W93" s="120"/>
      <c r="X93" s="120"/>
      <c r="Y93" s="120"/>
      <c r="Z93" s="120"/>
      <c r="AA93" s="120"/>
      <c r="AB93" s="121"/>
      <c r="AC93" s="119" t="str">
        <f>IF([9]回答表!F17="水道事業",IF([9]回答表!X45="●",[9]回答表!J180,IF([9]回答表!AA45="●",[9]回答表!J245,"")),"")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IF([9]回答表!F17="水道事業",IF([9]回答表!AD45="●","●",""),"")</f>
        <v/>
      </c>
      <c r="O98" s="99"/>
      <c r="P98" s="99"/>
      <c r="Q98" s="100"/>
      <c r="R98" s="38"/>
      <c r="S98" s="38"/>
      <c r="T98" s="38"/>
      <c r="U98" s="107" t="str">
        <f>IF([9]回答表!F17="水道事業",IF([9]回答表!AD45="●",[9]回答表!B289,""),"")</f>
        <v/>
      </c>
      <c r="V98" s="108"/>
      <c r="W98" s="108"/>
      <c r="X98" s="108"/>
      <c r="Y98" s="108"/>
      <c r="Z98" s="108"/>
      <c r="AA98" s="108"/>
      <c r="AB98" s="108"/>
      <c r="AC98" s="108"/>
      <c r="AD98" s="108"/>
      <c r="AE98" s="108"/>
      <c r="AF98" s="108"/>
      <c r="AG98" s="108"/>
      <c r="AH98" s="108"/>
      <c r="AI98" s="108"/>
      <c r="AJ98" s="109"/>
      <c r="AK98" s="55"/>
      <c r="AL98" s="55"/>
      <c r="AM98" s="107" t="str">
        <f>IF([9]回答表!F17="水道事業",IF([9]回答表!AD45="●",[9]回答表!B295,""),"")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IF([9]回答表!F17="簡易水道事業",IF([9]回答表!X45="●",[9]回答表!B158,IF([9]回答表!AA45="●",[9]回答表!B223,"")),"")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IF([9]回答表!F17="簡易水道事業",IF([9]回答表!X45="●",[9]回答表!B212,IF([9]回答表!AA45="●",[9]回答表!B278,"")),"")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IF([9]回答表!F17="簡易水道事業",IF([9]回答表!X45="●","●",""),"")</f>
        <v/>
      </c>
      <c r="O112" s="99"/>
      <c r="P112" s="99"/>
      <c r="Q112" s="100"/>
      <c r="R112" s="38"/>
      <c r="S112" s="38"/>
      <c r="T112" s="38"/>
      <c r="U112" s="119" t="str">
        <f>IF([9]回答表!F17="簡易水道事業",IF([9]回答表!X45="●",[9]回答表!Y185,IF([9]回答表!AA45="●",[9]回答表!Y251,"")),"")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IF([9]回答表!F17="簡易水道事業",IF([9]回答表!X45="●",[9]回答表!E212,IF([9]回答表!AA45="●",[9]回答表!E278,"")),"")</f>
        <v/>
      </c>
      <c r="BG113" s="84"/>
      <c r="BH113" s="84"/>
      <c r="BI113" s="84"/>
      <c r="BJ113" s="83" t="str">
        <f>IF([9]回答表!F17="簡易水道事業",IF([9]回答表!X45="●",[9]回答表!E213,IF([9]回答表!AA45="●",[9]回答表!E279,"")),"")</f>
        <v/>
      </c>
      <c r="BK113" s="84"/>
      <c r="BL113" s="84"/>
      <c r="BM113" s="84"/>
      <c r="BN113" s="83" t="str">
        <f>IF([9]回答表!F17="簡易水道事業",IF([9]回答表!X45="●",[9]回答表!E214,IF([9]回答表!AA45="●",[9]回答表!E280,"")),"")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IF([9]回答表!F17="簡易水道事業",IF([9]回答表!X45="●",[9]回答表!Y186,IF([9]回答表!AA45="●",[9]回答表!Y252,"")),"")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IF([9]回答表!F17="簡易水道事業",IF([9]回答表!AA45="●","●",""),"")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IF([9]回答表!F17="簡易水道事業",IF([9]回答表!X45="●",[9]回答表!Y187,IF([9]回答表!AA45="●",[9]回答表!Y253,"")),"")</f>
        <v/>
      </c>
      <c r="V122" s="120"/>
      <c r="W122" s="120"/>
      <c r="X122" s="120"/>
      <c r="Y122" s="120"/>
      <c r="Z122" s="120"/>
      <c r="AA122" s="120"/>
      <c r="AB122" s="120"/>
      <c r="AC122" s="120"/>
      <c r="AD122" s="120"/>
      <c r="AE122" s="120"/>
      <c r="AF122" s="120"/>
      <c r="AG122" s="120"/>
      <c r="AH122" s="120"/>
      <c r="AI122" s="120"/>
      <c r="AJ122" s="121"/>
      <c r="AK122" s="18"/>
      <c r="AL122" s="18"/>
      <c r="AM122" s="228" t="str">
        <f>IF([9]回答表!F17="簡易水道事業",IF([9]回答表!X45="●",[9]回答表!Y189,IF([9]回答表!AA45="●",[9]回答表!Y255,"")),"")</f>
        <v/>
      </c>
      <c r="AN122" s="228"/>
      <c r="AO122" s="228"/>
      <c r="AP122" s="228"/>
      <c r="AQ122" s="228"/>
      <c r="AR122" s="228"/>
      <c r="AS122" s="228" t="str">
        <f>IF([9]回答表!F17="簡易水道事業",IF([9]回答表!X45="●",[9]回答表!Y190,IF([9]回答表!AA45="●",[9]回答表!Y256,"")),"")</f>
        <v/>
      </c>
      <c r="AT122" s="228"/>
      <c r="AU122" s="228"/>
      <c r="AV122" s="228"/>
      <c r="AW122" s="228"/>
      <c r="AX122" s="228"/>
      <c r="AY122" s="228" t="str">
        <f>IF([9]回答表!F17="簡易水道事業",IF([9]回答表!X45="●",[9]回答表!Y191,IF([9]回答表!AA45="●",[9]回答表!Y257,"")),"")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IF([9]回答表!F17="簡易水道事業",IF([9]回答表!AD45="●","●",""),"")</f>
        <v/>
      </c>
      <c r="O127" s="99"/>
      <c r="P127" s="99"/>
      <c r="Q127" s="100"/>
      <c r="R127" s="38"/>
      <c r="S127" s="38"/>
      <c r="T127" s="38"/>
      <c r="U127" s="107" t="str">
        <f>IF([9]回答表!F17="簡易水道事業",IF([9]回答表!AD45="●",[9]回答表!B289,""),"")</f>
        <v/>
      </c>
      <c r="V127" s="108"/>
      <c r="W127" s="108"/>
      <c r="X127" s="108"/>
      <c r="Y127" s="108"/>
      <c r="Z127" s="108"/>
      <c r="AA127" s="108"/>
      <c r="AB127" s="108"/>
      <c r="AC127" s="108"/>
      <c r="AD127" s="108"/>
      <c r="AE127" s="108"/>
      <c r="AF127" s="108"/>
      <c r="AG127" s="108"/>
      <c r="AH127" s="108"/>
      <c r="AI127" s="108"/>
      <c r="AJ127" s="109"/>
      <c r="AK127" s="55"/>
      <c r="AL127" s="55"/>
      <c r="AM127" s="107" t="str">
        <f>IF([9]回答表!F17="簡易水道事業",IF([9]回答表!AD45="●",[9]回答表!B295,""),"")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IF([9]回答表!F17="下水道事業",IF([9]回答表!X45="●","●",""),"")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IF([9]回答表!F17="下水道事業",IF([9]回答表!X45="●",[9]回答表!B158,IF([9]回答表!AA45="●",[9]回答表!B223,"")),"")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IF([9]回答表!F17="下水道事業",IF([9]回答表!X45="●",[9]回答表!B212,IF([9]回答表!AA45="●",[9]回答表!B278,"")),"")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IF([9]回答表!F17="下水道事業",IF([9]回答表!X45="●",[9]回答表!Y193,IF([9]回答表!AA45="●",[9]回答表!Y259,"")),"")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IF([9]回答表!F17="下水道事業",IF([9]回答表!X45="●",[9]回答表!E212,IF([9]回答表!AA45="●",[9]回答表!E278,"")),"")</f>
        <v/>
      </c>
      <c r="BG142" s="84"/>
      <c r="BH142" s="84"/>
      <c r="BI142" s="84"/>
      <c r="BJ142" s="83" t="str">
        <f>IF([9]回答表!F17="下水道事業",IF([9]回答表!X45="●",[9]回答表!E213,IF([9]回答表!AA45="●",[9]回答表!E279,"")),"")</f>
        <v/>
      </c>
      <c r="BK142" s="84"/>
      <c r="BL142" s="84"/>
      <c r="BM142" s="84"/>
      <c r="BN142" s="83" t="str">
        <f>IF([9]回答表!F17="下水道事業",IF([9]回答表!X45="●",[9]回答表!E214,IF([9]回答表!AA45="●",[9]回答表!E280,"")),"")</f>
        <v/>
      </c>
      <c r="BO142" s="84"/>
      <c r="BP142" s="84"/>
      <c r="BQ142" s="87"/>
      <c r="BR142" s="37"/>
      <c r="BX142" s="211" t="str">
        <f>IF([9]回答表!AQ20="下水道事業",IF([9]回答表!BI48="○",[9]回答表!AM161,IF([9]回答表!BL48="○",[9]回答表!AM226,"")),"")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IF([9]回答表!F17="下水道事業",IF([9]回答表!X45="●",[9]回答表!Y195,IF([9]回答表!AA45="●",[9]回答表!Y261,"")),"")</f>
        <v/>
      </c>
      <c r="V147" s="120"/>
      <c r="W147" s="120"/>
      <c r="X147" s="120"/>
      <c r="Y147" s="120"/>
      <c r="Z147" s="120"/>
      <c r="AA147" s="120"/>
      <c r="AB147" s="121"/>
      <c r="AC147" s="119" t="str">
        <f>IF([9]回答表!F17="下水道事業",IF([9]回答表!X45="●",[9]回答表!Y196,IF([9]回答表!AA45="●",[9]回答表!Y262,"")),"")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IF([9]回答表!F17="下水道事業",IF([9]回答表!X45="●",[9]回答表!Y198,IF([9]回答表!AA45="●",[9]回答表!Y264,"")),"")</f>
        <v/>
      </c>
      <c r="V153" s="120"/>
      <c r="W153" s="120"/>
      <c r="X153" s="120"/>
      <c r="Y153" s="120"/>
      <c r="Z153" s="120"/>
      <c r="AA153" s="120"/>
      <c r="AB153" s="121"/>
      <c r="AC153" s="119" t="str">
        <f>IF([9]回答表!F17="下水道事業",IF([9]回答表!X45="●",[9]回答表!Y199,IF([9]回答表!AA45="●",[9]回答表!Y265,"")),"")</f>
        <v/>
      </c>
      <c r="AD153" s="120"/>
      <c r="AE153" s="120"/>
      <c r="AF153" s="120"/>
      <c r="AG153" s="120"/>
      <c r="AH153" s="120"/>
      <c r="AI153" s="120"/>
      <c r="AJ153" s="121"/>
      <c r="AK153" s="119" t="str">
        <f>IF([9]回答表!F17="下水道事業",IF([9]回答表!X45="●",[9]回答表!Y200,IF([9]回答表!AA45="●",[9]回答表!Y266,"")),"")</f>
        <v/>
      </c>
      <c r="AL153" s="120"/>
      <c r="AM153" s="120"/>
      <c r="AN153" s="120"/>
      <c r="AO153" s="120"/>
      <c r="AP153" s="120"/>
      <c r="AQ153" s="120"/>
      <c r="AR153" s="121"/>
      <c r="AS153" s="119" t="str">
        <f>IF([9]回答表!F17="下水道事業",IF([9]回答表!X45="●",[9]回答表!Y201,IF([9]回答表!AA45="●",[9]回答表!Y267,"")),"")</f>
        <v/>
      </c>
      <c r="AT153" s="120"/>
      <c r="AU153" s="120"/>
      <c r="AV153" s="120"/>
      <c r="AW153" s="120"/>
      <c r="AX153" s="120"/>
      <c r="AY153" s="120"/>
      <c r="AZ153" s="121"/>
      <c r="BA153" s="119" t="str">
        <f>IF([9]回答表!F17="下水道事業",IF([9]回答表!X45="●",[9]回答表!Y202,IF([9]回答表!AA45="●",[9]回答表!Y268,"")),"")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IF([9]回答表!F17="下水道事業",IF([9]回答表!AA45="●","●",""),"")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IF([9]回答表!F17="下水道事業",IF([9]回答表!X45="●",[9]回答表!Y207,IF([9]回答表!AA45="●",[9]回答表!Y273,"")),"")</f>
        <v/>
      </c>
      <c r="V159" s="120"/>
      <c r="W159" s="120"/>
      <c r="X159" s="120"/>
      <c r="Y159" s="120"/>
      <c r="Z159" s="120"/>
      <c r="AA159" s="120"/>
      <c r="AB159" s="121"/>
      <c r="AC159" s="119" t="str">
        <f>IF([9]回答表!F17="下水道事業",IF([9]回答表!X45="●",[9]回答表!Y208,IF([9]回答表!AA45="●",[9]回答表!Y274,"")),"")</f>
        <v/>
      </c>
      <c r="AD159" s="120"/>
      <c r="AE159" s="120"/>
      <c r="AF159" s="120"/>
      <c r="AG159" s="120"/>
      <c r="AH159" s="120"/>
      <c r="AI159" s="120"/>
      <c r="AJ159" s="121"/>
      <c r="AK159" s="119" t="str">
        <f>IF([9]回答表!F17="下水道事業",IF([9]回答表!X45="●",[9]回答表!Y209,IF([9]回答表!AA45="●",[9]回答表!Y275,"")),"")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IF([9]回答表!F17="下水道事業",IF([9]回答表!AD45="●","●",""),"")</f>
        <v/>
      </c>
      <c r="O164" s="99"/>
      <c r="P164" s="99"/>
      <c r="Q164" s="100"/>
      <c r="R164" s="38"/>
      <c r="S164" s="38"/>
      <c r="T164" s="38"/>
      <c r="U164" s="107" t="str">
        <f>IF([9]回答表!F17="下水道事業",IF([9]回答表!AD45="●",[9]回答表!B289,""),"")</f>
        <v/>
      </c>
      <c r="V164" s="108"/>
      <c r="W164" s="108"/>
      <c r="X164" s="108"/>
      <c r="Y164" s="108"/>
      <c r="Z164" s="108"/>
      <c r="AA164" s="108"/>
      <c r="AB164" s="108"/>
      <c r="AC164" s="108"/>
      <c r="AD164" s="108"/>
      <c r="AE164" s="108"/>
      <c r="AF164" s="108"/>
      <c r="AG164" s="108"/>
      <c r="AH164" s="108"/>
      <c r="AI164" s="108"/>
      <c r="AJ164" s="109"/>
      <c r="AK164" s="55"/>
      <c r="AL164" s="55"/>
      <c r="AM164" s="107" t="str">
        <f>IF([9]回答表!F17="下水道事業",IF([9]回答表!AD45="●",[9]回答表!B295,""),"")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IF([9]回答表!BD17="●",IF([9]回答表!X45="●","●",""),"")</f>
        <v/>
      </c>
      <c r="O176" s="99"/>
      <c r="P176" s="99"/>
      <c r="Q176" s="100"/>
      <c r="R176" s="38"/>
      <c r="S176" s="38"/>
      <c r="T176" s="38"/>
      <c r="U176" s="107" t="str">
        <f>IF([9]回答表!BD17="●",IF([9]回答表!X45="●",[9]回答表!B158,IF([9]回答表!AA45="●",[9]回答表!B223,"")),"")</f>
        <v/>
      </c>
      <c r="V176" s="108"/>
      <c r="W176" s="108"/>
      <c r="X176" s="108"/>
      <c r="Y176" s="108"/>
      <c r="Z176" s="108"/>
      <c r="AA176" s="108"/>
      <c r="AB176" s="108"/>
      <c r="AC176" s="108"/>
      <c r="AD176" s="108"/>
      <c r="AE176" s="108"/>
      <c r="AF176" s="108"/>
      <c r="AG176" s="108"/>
      <c r="AH176" s="108"/>
      <c r="AI176" s="108"/>
      <c r="AJ176" s="109"/>
      <c r="AK176" s="49"/>
      <c r="AL176" s="49"/>
      <c r="AM176" s="116" t="str">
        <f>IF([9]回答表!BD17="●",IF([9]回答表!X45="●",[9]回答表!B212,IF([9]回答表!AA45="●",[9]回答表!B278,"")),"")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IF([9]回答表!BD17="●",IF([9]回答表!X45="●",[9]回答表!E212,IF([9]回答表!AA45="●",[9]回答表!E278,"")),"")</f>
        <v/>
      </c>
      <c r="AN179" s="84"/>
      <c r="AO179" s="84"/>
      <c r="AP179" s="84"/>
      <c r="AQ179" s="83" t="str">
        <f>IF([9]回答表!BD17="●",IF([9]回答表!X45="●",[9]回答表!E213,IF([9]回答表!AA45="●",[9]回答表!E279,"")),"")</f>
        <v/>
      </c>
      <c r="AR179" s="84"/>
      <c r="AS179" s="84"/>
      <c r="AT179" s="84"/>
      <c r="AU179" s="83" t="str">
        <f>IF([9]回答表!BD17="●",IF([9]回答表!X45="●",[9]回答表!E214,IF([9]回答表!AA45="●",[9]回答表!E280,"")),"")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IF([9]回答表!BD17="●",IF([9]回答表!AA45="●","●",""),"")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IF([9]回答表!BD17="●",IF([9]回答表!AD45="●","●",""),"")</f>
        <v/>
      </c>
      <c r="O188" s="99"/>
      <c r="P188" s="99"/>
      <c r="Q188" s="100"/>
      <c r="R188" s="38"/>
      <c r="S188" s="38"/>
      <c r="T188" s="38"/>
      <c r="U188" s="107" t="str">
        <f>IF([9]回答表!BD17="●",IF([9]回答表!AD45="●",[9]回答表!B289,""),"")</f>
        <v/>
      </c>
      <c r="V188" s="108"/>
      <c r="W188" s="108"/>
      <c r="X188" s="108"/>
      <c r="Y188" s="108"/>
      <c r="Z188" s="108"/>
      <c r="AA188" s="108"/>
      <c r="AB188" s="108"/>
      <c r="AC188" s="108"/>
      <c r="AD188" s="108"/>
      <c r="AE188" s="108"/>
      <c r="AF188" s="108"/>
      <c r="AG188" s="108"/>
      <c r="AH188" s="108"/>
      <c r="AI188" s="108"/>
      <c r="AJ188" s="109"/>
      <c r="AK188" s="55"/>
      <c r="AL188" s="55"/>
      <c r="AM188" s="107" t="str">
        <f>IF([9]回答表!BD17="●",IF([9]回答表!AD45="●",[9]回答表!B295,""),"")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IF([9]回答表!X46="●","●","")</f>
        <v/>
      </c>
      <c r="O200" s="99"/>
      <c r="P200" s="99"/>
      <c r="Q200" s="100"/>
      <c r="R200" s="38"/>
      <c r="S200" s="38"/>
      <c r="T200" s="38"/>
      <c r="U200" s="107" t="str">
        <f>IF([9]回答表!X46="●",[9]回答表!B307,IF([9]回答表!AA46="●",[9]回答表!B324,""))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IF([9]回答表!X46="●",[9]回答表!U313,IF([9]回答表!AA46="●",[9]回答表!U330,""))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IF([9]回答表!X46="●",[9]回答表!G313,IF([9]回答表!AA46="●",[9]回答表!G330,""))</f>
        <v/>
      </c>
      <c r="AN203" s="120"/>
      <c r="AO203" s="120"/>
      <c r="AP203" s="120"/>
      <c r="AQ203" s="120"/>
      <c r="AR203" s="120"/>
      <c r="AS203" s="120"/>
      <c r="AT203" s="121"/>
      <c r="AU203" s="119" t="str">
        <f>IF([9]回答表!X46="●",[9]回答表!G314,IF([9]回答表!AA46="●",[9]回答表!G331,""))</f>
        <v/>
      </c>
      <c r="AV203" s="120"/>
      <c r="AW203" s="120"/>
      <c r="AX203" s="120"/>
      <c r="AY203" s="120"/>
      <c r="AZ203" s="120"/>
      <c r="BA203" s="120"/>
      <c r="BB203" s="121"/>
      <c r="BC203" s="39"/>
      <c r="BD203" s="34"/>
      <c r="BE203" s="34"/>
      <c r="BF203" s="83" t="str">
        <f>IF([9]回答表!X46="●",[9]回答表!X313,IF([9]回答表!AA46="●",[9]回答表!X330,""))</f>
        <v/>
      </c>
      <c r="BG203" s="84"/>
      <c r="BH203" s="84"/>
      <c r="BI203" s="84"/>
      <c r="BJ203" s="83" t="str">
        <f>IF([9]回答表!X46="●",[9]回答表!X314,IF([9]回答表!AA46="●",[9]回答表!X331,""))</f>
        <v/>
      </c>
      <c r="BK203" s="84"/>
      <c r="BL203" s="84"/>
      <c r="BM203" s="87"/>
      <c r="BN203" s="83" t="str">
        <f>IF([9]回答表!X46="●",[9]回答表!X315,IF([9]回答表!AA46="●",[9]回答表!X332,""))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IF([9]回答表!AA46="●","●","")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IF([9]回答表!AD46="●","●","")</f>
        <v/>
      </c>
      <c r="O212" s="99"/>
      <c r="P212" s="99"/>
      <c r="Q212" s="100"/>
      <c r="R212" s="38"/>
      <c r="S212" s="38"/>
      <c r="T212" s="38"/>
      <c r="U212" s="107" t="str">
        <f>IF([9]回答表!AD46="●",[9]回答表!B337,"")</f>
        <v/>
      </c>
      <c r="V212" s="108"/>
      <c r="W212" s="108"/>
      <c r="X212" s="108"/>
      <c r="Y212" s="108"/>
      <c r="Z212" s="108"/>
      <c r="AA212" s="108"/>
      <c r="AB212" s="108"/>
      <c r="AC212" s="108"/>
      <c r="AD212" s="108"/>
      <c r="AE212" s="108"/>
      <c r="AF212" s="108"/>
      <c r="AG212" s="108"/>
      <c r="AH212" s="108"/>
      <c r="AI212" s="108"/>
      <c r="AJ212" s="109"/>
      <c r="AK212" s="62"/>
      <c r="AL212" s="62"/>
      <c r="AM212" s="107" t="str">
        <f>IF([9]回答表!AD46="●",[9]回答表!B343,"")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IF([9]回答表!X47="●","●","")</f>
        <v/>
      </c>
      <c r="O224" s="99"/>
      <c r="P224" s="99"/>
      <c r="Q224" s="100"/>
      <c r="R224" s="38"/>
      <c r="S224" s="38"/>
      <c r="T224" s="38"/>
      <c r="U224" s="107" t="str">
        <f>IF([9]回答表!X47="●",[9]回答表!B356,IF([9]回答表!AA47="●",[9]回答表!B379,""))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IF([9]回答表!X47="●",[9]回答表!B362,"")</f>
        <v/>
      </c>
      <c r="AO224" s="182"/>
      <c r="AP224" s="182"/>
      <c r="AQ224" s="182"/>
      <c r="AR224" s="182"/>
      <c r="AS224" s="182"/>
      <c r="AT224" s="182"/>
      <c r="AU224" s="182"/>
      <c r="AV224" s="182"/>
      <c r="AW224" s="182"/>
      <c r="AX224" s="182"/>
      <c r="AY224" s="182"/>
      <c r="AZ224" s="182"/>
      <c r="BA224" s="182"/>
      <c r="BB224" s="183"/>
      <c r="BC224" s="39"/>
      <c r="BD224" s="34"/>
      <c r="BE224" s="34"/>
      <c r="BF224" s="116" t="str">
        <f>IF([9]回答表!X47="●",[9]回答表!B368,IF([9]回答表!AA47="●",[9]回答表!B385,""))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IF([9]回答表!X47="●",[9]回答表!E368,IF([9]回答表!AA47="●",[9]回答表!E385,""))</f>
        <v/>
      </c>
      <c r="BG227" s="84"/>
      <c r="BH227" s="84"/>
      <c r="BI227" s="84"/>
      <c r="BJ227" s="83" t="str">
        <f>IF([9]回答表!X47="●",[9]回答表!E369,IF([9]回答表!AA47="●",[9]回答表!E386,""))</f>
        <v/>
      </c>
      <c r="BK227" s="84"/>
      <c r="BL227" s="84"/>
      <c r="BM227" s="87"/>
      <c r="BN227" s="83" t="str">
        <f>IF([9]回答表!X47="●",[9]回答表!E370,IF([9]回答表!AA47="●",[9]回答表!E387,""))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IF([9]回答表!AA47="●","●","")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IF([9]回答表!AD47="●","●","")</f>
        <v/>
      </c>
      <c r="O236" s="99"/>
      <c r="P236" s="99"/>
      <c r="Q236" s="100"/>
      <c r="R236" s="38"/>
      <c r="S236" s="38"/>
      <c r="T236" s="38"/>
      <c r="U236" s="107" t="str">
        <f>IF([9]回答表!AD47="●",[9]回答表!B392,"")</f>
        <v/>
      </c>
      <c r="V236" s="108"/>
      <c r="W236" s="108"/>
      <c r="X236" s="108"/>
      <c r="Y236" s="108"/>
      <c r="Z236" s="108"/>
      <c r="AA236" s="108"/>
      <c r="AB236" s="108"/>
      <c r="AC236" s="108"/>
      <c r="AD236" s="108"/>
      <c r="AE236" s="108"/>
      <c r="AF236" s="108"/>
      <c r="AG236" s="108"/>
      <c r="AH236" s="108"/>
      <c r="AI236" s="108"/>
      <c r="AJ236" s="109"/>
      <c r="AK236" s="62"/>
      <c r="AL236" s="62"/>
      <c r="AM236" s="107" t="str">
        <f>IF([9]回答表!AD47="●",[9]回答表!B398,"")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IF([9]回答表!X48="●","●","")</f>
        <v/>
      </c>
      <c r="O248" s="99"/>
      <c r="P248" s="99"/>
      <c r="Q248" s="100"/>
      <c r="R248" s="38"/>
      <c r="S248" s="38"/>
      <c r="T248" s="38"/>
      <c r="U248" s="107" t="str">
        <f>IF([9]回答表!X48="●",[9]回答表!B411,IF([9]回答表!AA48="●",[9]回答表!B425,""))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IF([9]回答表!X48="●",[9]回答表!BC418,IF([9]回答表!AA48="●",[9]回答表!BC432,""))</f>
        <v/>
      </c>
      <c r="AR248" s="151"/>
      <c r="AS248" s="151"/>
      <c r="AT248" s="151"/>
      <c r="AU248" s="173" t="s">
        <v>73</v>
      </c>
      <c r="AV248" s="174"/>
      <c r="AW248" s="174"/>
      <c r="AX248" s="175"/>
      <c r="AY248" s="151" t="str">
        <f>IF([9]回答表!X48="●",[9]回答表!BC423,IF([9]回答表!AA48="●",[9]回答表!BC437,""))</f>
        <v/>
      </c>
      <c r="AZ248" s="151"/>
      <c r="BA248" s="151"/>
      <c r="BB248" s="151"/>
      <c r="BC248" s="39"/>
      <c r="BD248" s="34"/>
      <c r="BE248" s="34"/>
      <c r="BF248" s="116" t="str">
        <f>IF([9]回答表!X48="●",[9]回答表!S417,IF([9]回答表!AA48="●",[9]回答表!S431,""))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IF([9]回答表!X48="●",[9]回答表!BC419,IF([9]回答表!AA48="●",[9]回答表!BC433,""))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IF([9]回答表!X48="●",[9]回答表!V417,IF([9]回答表!AA48="●",[9]回答表!V431,""))</f>
        <v/>
      </c>
      <c r="BG251" s="84"/>
      <c r="BH251" s="84"/>
      <c r="BI251" s="84"/>
      <c r="BJ251" s="83" t="str">
        <f>IF([9]回答表!X48="●",[9]回答表!V418,IF([9]回答表!AA48="●",[9]回答表!V432,""))</f>
        <v/>
      </c>
      <c r="BK251" s="84"/>
      <c r="BL251" s="84"/>
      <c r="BM251" s="87"/>
      <c r="BN251" s="83" t="str">
        <f>IF([9]回答表!X48="●",[9]回答表!V419,IF([9]回答表!AA48="●",[9]回答表!V433,""))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IF([9]回答表!X48="●",[9]回答表!BC420,IF([9]回答表!AA48="●",[9]回答表!BC434,""))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IF([9]回答表!X48="●",[9]回答表!BC424,IF([9]回答表!AA48="●",[9]回答表!BC438,""))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IF([9]回答表!AA48="●","●","")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IF([9]回答表!X48="●",[9]回答表!BC421,IF([9]回答表!AA48="●",[9]回答表!BC435,""))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IF([9]回答表!X48="●",[9]回答表!BC422,IF([9]回答表!AA48="●",[9]回答表!BC436,""))</f>
        <v/>
      </c>
      <c r="AR256" s="151"/>
      <c r="AS256" s="151"/>
      <c r="AT256" s="151"/>
      <c r="AU256" s="152" t="s">
        <v>79</v>
      </c>
      <c r="AV256" s="153"/>
      <c r="AW256" s="153"/>
      <c r="AX256" s="154"/>
      <c r="AY256" s="158" t="str">
        <f>IF([9]回答表!X48="●",[9]回答表!BC425,IF([9]回答表!AA48="●",[9]回答表!BC439,""))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IF([9]回答表!AD48="●","●","")</f>
        <v/>
      </c>
      <c r="O260" s="99"/>
      <c r="P260" s="99"/>
      <c r="Q260" s="100"/>
      <c r="R260" s="38"/>
      <c r="S260" s="38"/>
      <c r="T260" s="38"/>
      <c r="U260" s="107" t="str">
        <f>IF([9]回答表!AD48="●",[9]回答表!B439,"")</f>
        <v/>
      </c>
      <c r="V260" s="108"/>
      <c r="W260" s="108"/>
      <c r="X260" s="108"/>
      <c r="Y260" s="108"/>
      <c r="Z260" s="108"/>
      <c r="AA260" s="108"/>
      <c r="AB260" s="108"/>
      <c r="AC260" s="108"/>
      <c r="AD260" s="108"/>
      <c r="AE260" s="108"/>
      <c r="AF260" s="108"/>
      <c r="AG260" s="108"/>
      <c r="AH260" s="108"/>
      <c r="AI260" s="108"/>
      <c r="AJ260" s="109"/>
      <c r="AK260" s="55"/>
      <c r="AL260" s="55"/>
      <c r="AM260" s="107" t="str">
        <f>IF([9]回答表!AD48="●",[9]回答表!B445,"")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IF([9]回答表!X49="●","●","")</f>
        <v/>
      </c>
      <c r="O271" s="99"/>
      <c r="P271" s="99"/>
      <c r="Q271" s="100"/>
      <c r="R271" s="38"/>
      <c r="S271" s="38"/>
      <c r="T271" s="38"/>
      <c r="U271" s="107" t="str">
        <f>IF([9]回答表!X49="●",[9]回答表!B458,IF([9]回答表!AA49="●",[9]回答表!B475,""))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IF([9]回答表!X49="●",[9]回答表!B468,IF([9]回答表!AA49="●",[9]回答表!B485,""))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IF([9]回答表!X49="●",[9]回答表!G464,IF([9]回答表!AA49="●",[9]回答表!G481,""))</f>
        <v/>
      </c>
      <c r="AN273" s="120"/>
      <c r="AO273" s="120"/>
      <c r="AP273" s="120"/>
      <c r="AQ273" s="120"/>
      <c r="AR273" s="120"/>
      <c r="AS273" s="120"/>
      <c r="AT273" s="121"/>
      <c r="AU273" s="119" t="str">
        <f>IF([9]回答表!X49="●",[9]回答表!G465,IF([9]回答表!AA49="●",[9]回答表!G482,""))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IF([9]回答表!X49="●",[9]回答表!E468,IF([9]回答表!AA49="●",[9]回答表!E485,""))</f>
        <v/>
      </c>
      <c r="BG274" s="84"/>
      <c r="BH274" s="84"/>
      <c r="BI274" s="84"/>
      <c r="BJ274" s="83" t="str">
        <f>IF([9]回答表!X49="●",[9]回答表!E469,IF([9]回答表!AA49="●",[9]回答表!E486,""))</f>
        <v/>
      </c>
      <c r="BK274" s="84"/>
      <c r="BL274" s="84"/>
      <c r="BM274" s="87"/>
      <c r="BN274" s="83" t="str">
        <f>IF([9]回答表!X49="●",[9]回答表!E470,IF([9]回答表!AA49="●",[9]回答表!E487,""))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IF([9]回答表!AA49="●","●","")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IF([9]回答表!AD49="●","●","")</f>
        <v/>
      </c>
      <c r="O283" s="99"/>
      <c r="P283" s="99"/>
      <c r="Q283" s="100"/>
      <c r="R283" s="38"/>
      <c r="S283" s="38"/>
      <c r="T283" s="38"/>
      <c r="U283" s="107" t="str">
        <f>IF([9]回答表!AD49="●",[9]回答表!B492,"")</f>
        <v/>
      </c>
      <c r="V283" s="108"/>
      <c r="W283" s="108"/>
      <c r="X283" s="108"/>
      <c r="Y283" s="108"/>
      <c r="Z283" s="108"/>
      <c r="AA283" s="108"/>
      <c r="AB283" s="108"/>
      <c r="AC283" s="108"/>
      <c r="AD283" s="108"/>
      <c r="AE283" s="108"/>
      <c r="AF283" s="108"/>
      <c r="AG283" s="108"/>
      <c r="AH283" s="108"/>
      <c r="AI283" s="108"/>
      <c r="AJ283" s="109"/>
      <c r="AK283" s="49"/>
      <c r="AL283" s="49"/>
      <c r="AM283" s="107" t="str">
        <f>IF([9]回答表!AD49="●",[9]回答表!B498,"")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IF([9]回答表!R50="●",[9]回答表!B511,"")</f>
        <v>現行の経営体制・手法で健全な事業運営が実施できているため大きな改革の予定はなし。
今後の方向性
①専門的な知識や技術を持った人材の育成とその知識や技術を継承していくために研修等を実施し、安全性を強化する。
②逓減型従量制料金制度による安価な料金体制を継続することで企業誘致に貢献し、収益の増加を図る。</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DDFBE-0EBA-4D7F-B94A-0BCBBAA4B6B5}">
  <sheetPr>
    <pageSetUpPr fitToPage="1"/>
  </sheetPr>
  <dimension ref="A1:CN315"/>
  <sheetViews>
    <sheetView showZeros="0" view="pageBreakPreview" zoomScale="60" zoomScaleNormal="55" workbookViewId="0">
      <selection activeCell="U62" sqref="U62:AJ71"/>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IF(COUNTIF([8]回答表!K15,"*")&gt;0,[8]回答表!K15,"")</f>
        <v>大館市</v>
      </c>
      <c r="D11" s="299"/>
      <c r="E11" s="299"/>
      <c r="F11" s="299"/>
      <c r="G11" s="299"/>
      <c r="H11" s="299"/>
      <c r="I11" s="299"/>
      <c r="J11" s="299"/>
      <c r="K11" s="299"/>
      <c r="L11" s="299"/>
      <c r="M11" s="299"/>
      <c r="N11" s="299"/>
      <c r="O11" s="299"/>
      <c r="P11" s="299"/>
      <c r="Q11" s="299"/>
      <c r="R11" s="299"/>
      <c r="S11" s="299"/>
      <c r="T11" s="299"/>
      <c r="U11" s="306" t="str">
        <f>IF(COUNTIF([8]回答表!F17,"*")&gt;0,[8]回答表!F17,"")</f>
        <v>簡易水道事業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IF(COUNTIF([8]回答表!W17,"*")&gt;0,[8]回答表!W17,"")</f>
        <v>―</v>
      </c>
      <c r="AP11" s="301"/>
      <c r="AQ11" s="301"/>
      <c r="AR11" s="301"/>
      <c r="AS11" s="301"/>
      <c r="AT11" s="301"/>
      <c r="AU11" s="301"/>
      <c r="AV11" s="301"/>
      <c r="AW11" s="301"/>
      <c r="AX11" s="301"/>
      <c r="AY11" s="301"/>
      <c r="AZ11" s="301"/>
      <c r="BA11" s="301"/>
      <c r="BB11" s="301"/>
      <c r="BC11" s="301"/>
      <c r="BD11" s="301"/>
      <c r="BE11" s="301"/>
      <c r="BF11" s="302"/>
      <c r="BG11" s="305" t="str">
        <f>IF(COUNTIF([8]回答表!F19,"*")&gt;0,[8]回答表!F19,"")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IF([8]回答表!R43="●","●","")</f>
        <v>●</v>
      </c>
      <c r="E24" s="123"/>
      <c r="F24" s="123"/>
      <c r="G24" s="123"/>
      <c r="H24" s="123"/>
      <c r="I24" s="123"/>
      <c r="J24" s="124"/>
      <c r="K24" s="122" t="str">
        <f>IF([8]回答表!R44="●","●","")</f>
        <v/>
      </c>
      <c r="L24" s="123"/>
      <c r="M24" s="123"/>
      <c r="N24" s="123"/>
      <c r="O24" s="123"/>
      <c r="P24" s="123"/>
      <c r="Q24" s="124"/>
      <c r="R24" s="122" t="str">
        <f>IF([8]回答表!R45="●","●","")</f>
        <v/>
      </c>
      <c r="S24" s="123"/>
      <c r="T24" s="123"/>
      <c r="U24" s="123"/>
      <c r="V24" s="123"/>
      <c r="W24" s="123"/>
      <c r="X24" s="124"/>
      <c r="Y24" s="122" t="str">
        <f>IF([8]回答表!R46="●","●","")</f>
        <v/>
      </c>
      <c r="Z24" s="123"/>
      <c r="AA24" s="123"/>
      <c r="AB24" s="123"/>
      <c r="AC24" s="123"/>
      <c r="AD24" s="123"/>
      <c r="AE24" s="124"/>
      <c r="AF24" s="122" t="str">
        <f>IF([8]回答表!R47="●","●","")</f>
        <v/>
      </c>
      <c r="AG24" s="123"/>
      <c r="AH24" s="123"/>
      <c r="AI24" s="123"/>
      <c r="AJ24" s="123"/>
      <c r="AK24" s="123"/>
      <c r="AL24" s="124"/>
      <c r="AM24" s="122" t="str">
        <f>IF([8]回答表!R48="●","●","")</f>
        <v/>
      </c>
      <c r="AN24" s="123"/>
      <c r="AO24" s="123"/>
      <c r="AP24" s="123"/>
      <c r="AQ24" s="123"/>
      <c r="AR24" s="123"/>
      <c r="AS24" s="124"/>
      <c r="AT24" s="122" t="str">
        <f>IF([8]回答表!R49="●","●","")</f>
        <v/>
      </c>
      <c r="AU24" s="123"/>
      <c r="AV24" s="123"/>
      <c r="AW24" s="123"/>
      <c r="AX24" s="123"/>
      <c r="AY24" s="123"/>
      <c r="AZ24" s="124"/>
      <c r="BA24" s="18"/>
      <c r="BB24" s="119" t="str">
        <f>IF([8]回答表!R50="●","●","")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IF([8]回答表!X43="●","●","")</f>
        <v>●</v>
      </c>
      <c r="O36" s="99"/>
      <c r="P36" s="99"/>
      <c r="Q36" s="100"/>
      <c r="R36" s="38"/>
      <c r="S36" s="38"/>
      <c r="T36" s="38"/>
      <c r="U36" s="107" t="str">
        <f>IF([8]回答表!X43="●",[8]回答表!B59,IF([8]回答表!AA43="●",[8]回答表!B79,""))</f>
        <v>上水道と簡易水道に分かれていたため契約や決算など事務処理が繁雑であったが、統合したことにより迅速に処理できるようになった。</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IF([8]回答表!X43="●",[8]回答表!S65,IF([8]回答表!AA43="●",[8]回答表!S85,""))</f>
        <v>平成</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IF([8]回答表!X43="●",[8]回答表!G65,IF([8]回答表!AA43="●",[8]回答表!G85,""))</f>
        <v>●</v>
      </c>
      <c r="AN38" s="120"/>
      <c r="AO38" s="120"/>
      <c r="AP38" s="120"/>
      <c r="AQ38" s="120"/>
      <c r="AR38" s="120"/>
      <c r="AS38" s="120"/>
      <c r="AT38" s="121"/>
      <c r="AU38" s="119" t="str">
        <f>IF([8]回答表!X43="●",[8]回答表!G66,IF([8]回答表!AA43="●",[8]回答表!G86,""))</f>
        <v xml:space="preserve">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IF([8]回答表!X43="●",[8]回答表!V65,IF([8]回答表!AA43="●",[8]回答表!V85,""))</f>
        <v>29</v>
      </c>
      <c r="BG39" s="249"/>
      <c r="BH39" s="249"/>
      <c r="BI39" s="250"/>
      <c r="BJ39" s="83">
        <f>IF([8]回答表!X43="●",[8]回答表!V66,IF([8]回答表!AA43="●",[8]回答表!V86,""))</f>
        <v>3</v>
      </c>
      <c r="BK39" s="249"/>
      <c r="BL39" s="249"/>
      <c r="BM39" s="250"/>
      <c r="BN39" s="83">
        <f>IF([8]回答表!X43="●",[8]回答表!V67,IF([8]回答表!AA43="●",[8]回答表!V87,""))</f>
        <v>31</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IF([8]回答表!X43="●",[8]回答表!O71,IF([8]回答表!AA43="●",[8]回答表!O91,""))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IF([8]回答表!X43="●",[8]回答表!O72,IF([8]回答表!AA43="●",[8]回答表!O92,""))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IF([8]回答表!AA43="●","●","")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IF([8]回答表!X43="●",[8]回答表!O73,IF([8]回答表!AA43="●",[8]回答表!O93,""))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IF([8]回答表!X43="●",[8]回答表!O74,IF([8]回答表!AA43="●",[8]回答表!O94,""))</f>
        <v xml:space="preserve">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IF([8]回答表!X43="●",[8]回答表!AG71,IF([8]回答表!AA43="●",[8]回答表!AG91,""))</f>
        <v>●</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IF([8]回答表!X43="●",[8]回答表!AG72,IF([8]回答表!AA43="●",[8]回答表!AG92,""))</f>
        <v xml:space="preserve">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IF([8]回答表!AD43="●","●","")</f>
        <v/>
      </c>
      <c r="O51" s="99"/>
      <c r="P51" s="99"/>
      <c r="Q51" s="100"/>
      <c r="R51" s="38"/>
      <c r="S51" s="38"/>
      <c r="T51" s="38"/>
      <c r="U51" s="107" t="str">
        <f>IF([8]回答表!AD43="●",[8]回答表!B99,"")</f>
        <v/>
      </c>
      <c r="V51" s="108"/>
      <c r="W51" s="108"/>
      <c r="X51" s="108"/>
      <c r="Y51" s="108"/>
      <c r="Z51" s="108"/>
      <c r="AA51" s="108"/>
      <c r="AB51" s="108"/>
      <c r="AC51" s="108"/>
      <c r="AD51" s="108"/>
      <c r="AE51" s="108"/>
      <c r="AF51" s="108"/>
      <c r="AG51" s="108"/>
      <c r="AH51" s="108"/>
      <c r="AI51" s="108"/>
      <c r="AJ51" s="109"/>
      <c r="AK51" s="55"/>
      <c r="AL51" s="55"/>
      <c r="AM51" s="107" t="str">
        <f>IF([8]回答表!AD43="●",[8]回答表!B104,"")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IF([8]回答表!X44="●","●","")</f>
        <v/>
      </c>
      <c r="O62" s="99"/>
      <c r="P62" s="99"/>
      <c r="Q62" s="100"/>
      <c r="R62" s="38"/>
      <c r="S62" s="38"/>
      <c r="T62" s="38"/>
      <c r="U62" s="107" t="str">
        <f>IF([8]回答表!X44="●",[8]回答表!B115,IF([8]回答表!AA44="●",[8]回答表!B127,""))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IF([8]回答表!X44="●",[8]回答表!S121,IF([8]回答表!AA44="●",[8]回答表!S133,""))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IF([8]回答表!X44="●",[8]回答表!J121,IF([8]回答表!AA44="●",[8]回答表!J133,""))</f>
        <v/>
      </c>
      <c r="AN65" s="120"/>
      <c r="AO65" s="120"/>
      <c r="AP65" s="120"/>
      <c r="AQ65" s="120"/>
      <c r="AR65" s="120"/>
      <c r="AS65" s="120"/>
      <c r="AT65" s="121"/>
      <c r="AU65" s="119" t="str">
        <f>IF([8]回答表!X44="●",[8]回答表!J122,IF([8]回答表!AA44="●",[8]回答表!J134,""))</f>
        <v/>
      </c>
      <c r="AV65" s="120"/>
      <c r="AW65" s="120"/>
      <c r="AX65" s="120"/>
      <c r="AY65" s="120"/>
      <c r="AZ65" s="120"/>
      <c r="BA65" s="120"/>
      <c r="BB65" s="121"/>
      <c r="BC65" s="39"/>
      <c r="BD65" s="34"/>
      <c r="BE65" s="34"/>
      <c r="BF65" s="83" t="str">
        <f>IF([8]回答表!X44="●",[8]回答表!V121,IF([8]回答表!AA44="●",[8]回答表!V133,""))</f>
        <v/>
      </c>
      <c r="BG65" s="84"/>
      <c r="BH65" s="84"/>
      <c r="BI65" s="84"/>
      <c r="BJ65" s="83" t="str">
        <f>IF([8]回答表!X44="●",[8]回答表!V122,IF([8]回答表!AA44="●",[8]回答表!V134,""))</f>
        <v/>
      </c>
      <c r="BK65" s="84"/>
      <c r="BL65" s="84"/>
      <c r="BM65" s="84"/>
      <c r="BN65" s="83" t="str">
        <f>IF([8]回答表!X44="●",[8]回答表!V123,IF([8]回答表!AA44="●",[8]回答表!V135,""))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IF([8]回答表!AA44="●","●","")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IF([8]回答表!AD44="●","●","")</f>
        <v/>
      </c>
      <c r="O74" s="99"/>
      <c r="P74" s="99"/>
      <c r="Q74" s="100"/>
      <c r="R74" s="38"/>
      <c r="S74" s="38"/>
      <c r="T74" s="38"/>
      <c r="U74" s="107" t="str">
        <f>IF([8]回答表!AD44="●",[8]回答表!B140,"")</f>
        <v/>
      </c>
      <c r="V74" s="108"/>
      <c r="W74" s="108"/>
      <c r="X74" s="108"/>
      <c r="Y74" s="108"/>
      <c r="Z74" s="108"/>
      <c r="AA74" s="108"/>
      <c r="AB74" s="108"/>
      <c r="AC74" s="108"/>
      <c r="AD74" s="108"/>
      <c r="AE74" s="108"/>
      <c r="AF74" s="108"/>
      <c r="AG74" s="108"/>
      <c r="AH74" s="108"/>
      <c r="AI74" s="108"/>
      <c r="AJ74" s="109"/>
      <c r="AK74" s="55"/>
      <c r="AL74" s="55"/>
      <c r="AM74" s="107" t="str">
        <f>IF([8]回答表!AD44="●",[8]回答表!B146,"")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IF([8]回答表!F17="水道事業",IF([8]回答表!X45="●","●",""),"")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IF([8]回答表!F17="水道事業",IF([8]回答表!X45="●",[8]回答表!B158,IF([8]回答表!AA45="●",[8]回答表!B223,"")),"")</f>
        <v/>
      </c>
      <c r="AN86" s="212"/>
      <c r="AO86" s="212"/>
      <c r="AP86" s="212"/>
      <c r="AQ86" s="212"/>
      <c r="AR86" s="212"/>
      <c r="AS86" s="212"/>
      <c r="AT86" s="212"/>
      <c r="AU86" s="212"/>
      <c r="AV86" s="212"/>
      <c r="AW86" s="212"/>
      <c r="AX86" s="212"/>
      <c r="AY86" s="212"/>
      <c r="AZ86" s="212"/>
      <c r="BA86" s="212"/>
      <c r="BB86" s="212"/>
      <c r="BC86" s="213"/>
      <c r="BD86" s="34"/>
      <c r="BE86" s="34"/>
      <c r="BF86" s="116" t="str">
        <f>IF([8]回答表!F17="水道事業",IF([8]回答表!X45="●",[8]回答表!B212,IF([8]回答表!AA45="●",[8]回答表!B278,"")),"")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IF([8]回答表!F17="水道事業",IF([8]回答表!X45="●",[8]回答表!J166,IF([8]回答表!AA45="●",[8]回答表!J231,"")),"")</f>
        <v/>
      </c>
      <c r="V88" s="120"/>
      <c r="W88" s="120"/>
      <c r="X88" s="120"/>
      <c r="Y88" s="120"/>
      <c r="Z88" s="120"/>
      <c r="AA88" s="120"/>
      <c r="AB88" s="121"/>
      <c r="AC88" s="119" t="str">
        <f>IF([8]回答表!F17="水道事業",IF([8]回答表!X45="●",[8]回答表!J173,IF([8]回答表!AA45="●",[8]回答表!J238,"")),"")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IF([8]回答表!F17="水道事業",IF([8]回答表!X45="●",[8]回答表!E212,IF([8]回答表!AA45="●",[8]回答表!E278,"")),"")</f>
        <v/>
      </c>
      <c r="BG89" s="84"/>
      <c r="BH89" s="84"/>
      <c r="BI89" s="84"/>
      <c r="BJ89" s="83" t="str">
        <f>IF([8]回答表!F17="水道事業",IF([8]回答表!X45="●",[8]回答表!E213,IF([8]回答表!AA45="●",[8]回答表!E279,"")),"")</f>
        <v/>
      </c>
      <c r="BK89" s="84"/>
      <c r="BL89" s="84"/>
      <c r="BM89" s="84"/>
      <c r="BN89" s="83" t="str">
        <f>IF([8]回答表!F17="水道事業",IF([8]回答表!X45="●",[8]回答表!E214,IF([8]回答表!AA45="●",[8]回答表!E280,"")),"")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IF([8]回答表!F17="水道事業",IF([8]回答表!AA45="●","●",""),"")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IF([8]回答表!F17="水道事業",IF([8]回答表!X45="●",[8]回答表!J176,IF([8]回答表!AA45="●",[8]回答表!J241,"")),"")</f>
        <v/>
      </c>
      <c r="V93" s="120"/>
      <c r="W93" s="120"/>
      <c r="X93" s="120"/>
      <c r="Y93" s="120"/>
      <c r="Z93" s="120"/>
      <c r="AA93" s="120"/>
      <c r="AB93" s="121"/>
      <c r="AC93" s="119" t="str">
        <f>IF([8]回答表!F17="水道事業",IF([8]回答表!X45="●",[8]回答表!J180,IF([8]回答表!AA45="●",[8]回答表!J245,"")),"")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IF([8]回答表!F17="水道事業",IF([8]回答表!AD45="●","●",""),"")</f>
        <v/>
      </c>
      <c r="O98" s="99"/>
      <c r="P98" s="99"/>
      <c r="Q98" s="100"/>
      <c r="R98" s="38"/>
      <c r="S98" s="38"/>
      <c r="T98" s="38"/>
      <c r="U98" s="107" t="str">
        <f>IF([8]回答表!F17="水道事業",IF([8]回答表!AD45="●",[8]回答表!B289,""),"")</f>
        <v/>
      </c>
      <c r="V98" s="108"/>
      <c r="W98" s="108"/>
      <c r="X98" s="108"/>
      <c r="Y98" s="108"/>
      <c r="Z98" s="108"/>
      <c r="AA98" s="108"/>
      <c r="AB98" s="108"/>
      <c r="AC98" s="108"/>
      <c r="AD98" s="108"/>
      <c r="AE98" s="108"/>
      <c r="AF98" s="108"/>
      <c r="AG98" s="108"/>
      <c r="AH98" s="108"/>
      <c r="AI98" s="108"/>
      <c r="AJ98" s="109"/>
      <c r="AK98" s="55"/>
      <c r="AL98" s="55"/>
      <c r="AM98" s="107" t="str">
        <f>IF([8]回答表!F17="水道事業",IF([8]回答表!AD45="●",[8]回答表!B295,""),"")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IF([8]回答表!F17="簡易水道事業",IF([8]回答表!X45="●",[8]回答表!B158,IF([8]回答表!AA45="●",[8]回答表!B223,"")),"")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IF([8]回答表!F17="簡易水道事業",IF([8]回答表!X45="●",[8]回答表!B212,IF([8]回答表!AA45="●",[8]回答表!B278,"")),"")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IF([8]回答表!F17="簡易水道事業",IF([8]回答表!X45="●","●",""),"")</f>
        <v/>
      </c>
      <c r="O112" s="99"/>
      <c r="P112" s="99"/>
      <c r="Q112" s="100"/>
      <c r="R112" s="38"/>
      <c r="S112" s="38"/>
      <c r="T112" s="38"/>
      <c r="U112" s="119" t="str">
        <f>IF([8]回答表!F17="簡易水道事業",IF([8]回答表!X45="●",[8]回答表!Y185,IF([8]回答表!AA45="●",[8]回答表!Y251,"")),"")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IF([8]回答表!F17="簡易水道事業",IF([8]回答表!X45="●",[8]回答表!E212,IF([8]回答表!AA45="●",[8]回答表!E278,"")),"")</f>
        <v/>
      </c>
      <c r="BG113" s="84"/>
      <c r="BH113" s="84"/>
      <c r="BI113" s="84"/>
      <c r="BJ113" s="83" t="str">
        <f>IF([8]回答表!F17="簡易水道事業",IF([8]回答表!X45="●",[8]回答表!E213,IF([8]回答表!AA45="●",[8]回答表!E279,"")),"")</f>
        <v/>
      </c>
      <c r="BK113" s="84"/>
      <c r="BL113" s="84"/>
      <c r="BM113" s="84"/>
      <c r="BN113" s="83" t="str">
        <f>IF([8]回答表!F17="簡易水道事業",IF([8]回答表!X45="●",[8]回答表!E214,IF([8]回答表!AA45="●",[8]回答表!E280,"")),"")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IF([8]回答表!F17="簡易水道事業",IF([8]回答表!X45="●",[8]回答表!Y186,IF([8]回答表!AA45="●",[8]回答表!Y252,"")),"")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IF([8]回答表!F17="簡易水道事業",IF([8]回答表!AA45="●","●",""),"")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IF([8]回答表!F17="簡易水道事業",IF([8]回答表!X45="●",[8]回答表!Y187,IF([8]回答表!AA45="●",[8]回答表!Y253,"")),"")</f>
        <v/>
      </c>
      <c r="V122" s="120"/>
      <c r="W122" s="120"/>
      <c r="X122" s="120"/>
      <c r="Y122" s="120"/>
      <c r="Z122" s="120"/>
      <c r="AA122" s="120"/>
      <c r="AB122" s="120"/>
      <c r="AC122" s="120"/>
      <c r="AD122" s="120"/>
      <c r="AE122" s="120"/>
      <c r="AF122" s="120"/>
      <c r="AG122" s="120"/>
      <c r="AH122" s="120"/>
      <c r="AI122" s="120"/>
      <c r="AJ122" s="121"/>
      <c r="AK122" s="18"/>
      <c r="AL122" s="18"/>
      <c r="AM122" s="228" t="str">
        <f>IF([8]回答表!F17="簡易水道事業",IF([8]回答表!X45="●",[8]回答表!Y189,IF([8]回答表!AA45="●",[8]回答表!Y255,"")),"")</f>
        <v/>
      </c>
      <c r="AN122" s="228"/>
      <c r="AO122" s="228"/>
      <c r="AP122" s="228"/>
      <c r="AQ122" s="228"/>
      <c r="AR122" s="228"/>
      <c r="AS122" s="228" t="str">
        <f>IF([8]回答表!F17="簡易水道事業",IF([8]回答表!X45="●",[8]回答表!Y190,IF([8]回答表!AA45="●",[8]回答表!Y256,"")),"")</f>
        <v/>
      </c>
      <c r="AT122" s="228"/>
      <c r="AU122" s="228"/>
      <c r="AV122" s="228"/>
      <c r="AW122" s="228"/>
      <c r="AX122" s="228"/>
      <c r="AY122" s="228" t="str">
        <f>IF([8]回答表!F17="簡易水道事業",IF([8]回答表!X45="●",[8]回答表!Y191,IF([8]回答表!AA45="●",[8]回答表!Y257,"")),"")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IF([8]回答表!F17="簡易水道事業",IF([8]回答表!AD45="●","●",""),"")</f>
        <v/>
      </c>
      <c r="O127" s="99"/>
      <c r="P127" s="99"/>
      <c r="Q127" s="100"/>
      <c r="R127" s="38"/>
      <c r="S127" s="38"/>
      <c r="T127" s="38"/>
      <c r="U127" s="107" t="str">
        <f>IF([8]回答表!F17="簡易水道事業",IF([8]回答表!AD45="●",[8]回答表!B289,""),"")</f>
        <v/>
      </c>
      <c r="V127" s="108"/>
      <c r="W127" s="108"/>
      <c r="X127" s="108"/>
      <c r="Y127" s="108"/>
      <c r="Z127" s="108"/>
      <c r="AA127" s="108"/>
      <c r="AB127" s="108"/>
      <c r="AC127" s="108"/>
      <c r="AD127" s="108"/>
      <c r="AE127" s="108"/>
      <c r="AF127" s="108"/>
      <c r="AG127" s="108"/>
      <c r="AH127" s="108"/>
      <c r="AI127" s="108"/>
      <c r="AJ127" s="109"/>
      <c r="AK127" s="55"/>
      <c r="AL127" s="55"/>
      <c r="AM127" s="107" t="str">
        <f>IF([8]回答表!F17="簡易水道事業",IF([8]回答表!AD45="●",[8]回答表!B295,""),"")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IF([8]回答表!F17="下水道事業",IF([8]回答表!X45="●","●",""),"")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IF([8]回答表!F17="下水道事業",IF([8]回答表!X45="●",[8]回答表!B158,IF([8]回答表!AA45="●",[8]回答表!B223,"")),"")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IF([8]回答表!F17="下水道事業",IF([8]回答表!X45="●",[8]回答表!B212,IF([8]回答表!AA45="●",[8]回答表!B278,"")),"")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IF([8]回答表!F17="下水道事業",IF([8]回答表!X45="●",[8]回答表!Y193,IF([8]回答表!AA45="●",[8]回答表!Y259,"")),"")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IF([8]回答表!F17="下水道事業",IF([8]回答表!X45="●",[8]回答表!E212,IF([8]回答表!AA45="●",[8]回答表!E278,"")),"")</f>
        <v/>
      </c>
      <c r="BG142" s="84"/>
      <c r="BH142" s="84"/>
      <c r="BI142" s="84"/>
      <c r="BJ142" s="83" t="str">
        <f>IF([8]回答表!F17="下水道事業",IF([8]回答表!X45="●",[8]回答表!E213,IF([8]回答表!AA45="●",[8]回答表!E279,"")),"")</f>
        <v/>
      </c>
      <c r="BK142" s="84"/>
      <c r="BL142" s="84"/>
      <c r="BM142" s="84"/>
      <c r="BN142" s="83" t="str">
        <f>IF([8]回答表!F17="下水道事業",IF([8]回答表!X45="●",[8]回答表!E214,IF([8]回答表!AA45="●",[8]回答表!E280,"")),"")</f>
        <v/>
      </c>
      <c r="BO142" s="84"/>
      <c r="BP142" s="84"/>
      <c r="BQ142" s="87"/>
      <c r="BR142" s="37"/>
      <c r="BX142" s="211" t="str">
        <f>IF([8]回答表!AQ20="下水道事業",IF([8]回答表!BI48="○",[8]回答表!AM161,IF([8]回答表!BL48="○",[8]回答表!AM226,"")),"")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IF([8]回答表!F17="下水道事業",IF([8]回答表!X45="●",[8]回答表!Y195,IF([8]回答表!AA45="●",[8]回答表!Y261,"")),"")</f>
        <v/>
      </c>
      <c r="V147" s="120"/>
      <c r="W147" s="120"/>
      <c r="X147" s="120"/>
      <c r="Y147" s="120"/>
      <c r="Z147" s="120"/>
      <c r="AA147" s="120"/>
      <c r="AB147" s="121"/>
      <c r="AC147" s="119" t="str">
        <f>IF([8]回答表!F17="下水道事業",IF([8]回答表!X45="●",[8]回答表!Y196,IF([8]回答表!AA45="●",[8]回答表!Y262,"")),"")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IF([8]回答表!F17="下水道事業",IF([8]回答表!X45="●",[8]回答表!Y198,IF([8]回答表!AA45="●",[8]回答表!Y264,"")),"")</f>
        <v/>
      </c>
      <c r="V153" s="120"/>
      <c r="W153" s="120"/>
      <c r="X153" s="120"/>
      <c r="Y153" s="120"/>
      <c r="Z153" s="120"/>
      <c r="AA153" s="120"/>
      <c r="AB153" s="121"/>
      <c r="AC153" s="119" t="str">
        <f>IF([8]回答表!F17="下水道事業",IF([8]回答表!X45="●",[8]回答表!Y199,IF([8]回答表!AA45="●",[8]回答表!Y265,"")),"")</f>
        <v/>
      </c>
      <c r="AD153" s="120"/>
      <c r="AE153" s="120"/>
      <c r="AF153" s="120"/>
      <c r="AG153" s="120"/>
      <c r="AH153" s="120"/>
      <c r="AI153" s="120"/>
      <c r="AJ153" s="121"/>
      <c r="AK153" s="119" t="str">
        <f>IF([8]回答表!F17="下水道事業",IF([8]回答表!X45="●",[8]回答表!Y200,IF([8]回答表!AA45="●",[8]回答表!Y266,"")),"")</f>
        <v/>
      </c>
      <c r="AL153" s="120"/>
      <c r="AM153" s="120"/>
      <c r="AN153" s="120"/>
      <c r="AO153" s="120"/>
      <c r="AP153" s="120"/>
      <c r="AQ153" s="120"/>
      <c r="AR153" s="121"/>
      <c r="AS153" s="119" t="str">
        <f>IF([8]回答表!F17="下水道事業",IF([8]回答表!X45="●",[8]回答表!Y201,IF([8]回答表!AA45="●",[8]回答表!Y267,"")),"")</f>
        <v/>
      </c>
      <c r="AT153" s="120"/>
      <c r="AU153" s="120"/>
      <c r="AV153" s="120"/>
      <c r="AW153" s="120"/>
      <c r="AX153" s="120"/>
      <c r="AY153" s="120"/>
      <c r="AZ153" s="121"/>
      <c r="BA153" s="119" t="str">
        <f>IF([8]回答表!F17="下水道事業",IF([8]回答表!X45="●",[8]回答表!Y202,IF([8]回答表!AA45="●",[8]回答表!Y268,"")),"")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IF([8]回答表!F17="下水道事業",IF([8]回答表!AA45="●","●",""),"")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IF([8]回答表!F17="下水道事業",IF([8]回答表!X45="●",[8]回答表!Y207,IF([8]回答表!AA45="●",[8]回答表!Y273,"")),"")</f>
        <v/>
      </c>
      <c r="V159" s="120"/>
      <c r="W159" s="120"/>
      <c r="X159" s="120"/>
      <c r="Y159" s="120"/>
      <c r="Z159" s="120"/>
      <c r="AA159" s="120"/>
      <c r="AB159" s="121"/>
      <c r="AC159" s="119" t="str">
        <f>IF([8]回答表!F17="下水道事業",IF([8]回答表!X45="●",[8]回答表!Y208,IF([8]回答表!AA45="●",[8]回答表!Y274,"")),"")</f>
        <v/>
      </c>
      <c r="AD159" s="120"/>
      <c r="AE159" s="120"/>
      <c r="AF159" s="120"/>
      <c r="AG159" s="120"/>
      <c r="AH159" s="120"/>
      <c r="AI159" s="120"/>
      <c r="AJ159" s="121"/>
      <c r="AK159" s="119" t="str">
        <f>IF([8]回答表!F17="下水道事業",IF([8]回答表!X45="●",[8]回答表!Y209,IF([8]回答表!AA45="●",[8]回答表!Y275,"")),"")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IF([8]回答表!F17="下水道事業",IF([8]回答表!AD45="●","●",""),"")</f>
        <v/>
      </c>
      <c r="O164" s="99"/>
      <c r="P164" s="99"/>
      <c r="Q164" s="100"/>
      <c r="R164" s="38"/>
      <c r="S164" s="38"/>
      <c r="T164" s="38"/>
      <c r="U164" s="107" t="str">
        <f>IF([8]回答表!F17="下水道事業",IF([8]回答表!AD45="●",[8]回答表!B289,""),"")</f>
        <v/>
      </c>
      <c r="V164" s="108"/>
      <c r="W164" s="108"/>
      <c r="X164" s="108"/>
      <c r="Y164" s="108"/>
      <c r="Z164" s="108"/>
      <c r="AA164" s="108"/>
      <c r="AB164" s="108"/>
      <c r="AC164" s="108"/>
      <c r="AD164" s="108"/>
      <c r="AE164" s="108"/>
      <c r="AF164" s="108"/>
      <c r="AG164" s="108"/>
      <c r="AH164" s="108"/>
      <c r="AI164" s="108"/>
      <c r="AJ164" s="109"/>
      <c r="AK164" s="55"/>
      <c r="AL164" s="55"/>
      <c r="AM164" s="107" t="str">
        <f>IF([8]回答表!F17="下水道事業",IF([8]回答表!AD45="●",[8]回答表!B295,""),"")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IF([8]回答表!BD17="●",IF([8]回答表!X45="●","●",""),"")</f>
        <v/>
      </c>
      <c r="O176" s="99"/>
      <c r="P176" s="99"/>
      <c r="Q176" s="100"/>
      <c r="R176" s="38"/>
      <c r="S176" s="38"/>
      <c r="T176" s="38"/>
      <c r="U176" s="107" t="str">
        <f>IF([8]回答表!BD17="●",IF([8]回答表!X45="●",[8]回答表!B158,IF([8]回答表!AA45="●",[8]回答表!B223,"")),"")</f>
        <v/>
      </c>
      <c r="V176" s="108"/>
      <c r="W176" s="108"/>
      <c r="X176" s="108"/>
      <c r="Y176" s="108"/>
      <c r="Z176" s="108"/>
      <c r="AA176" s="108"/>
      <c r="AB176" s="108"/>
      <c r="AC176" s="108"/>
      <c r="AD176" s="108"/>
      <c r="AE176" s="108"/>
      <c r="AF176" s="108"/>
      <c r="AG176" s="108"/>
      <c r="AH176" s="108"/>
      <c r="AI176" s="108"/>
      <c r="AJ176" s="109"/>
      <c r="AK176" s="49"/>
      <c r="AL176" s="49"/>
      <c r="AM176" s="116" t="str">
        <f>IF([8]回答表!BD17="●",IF([8]回答表!X45="●",[8]回答表!B212,IF([8]回答表!AA45="●",[8]回答表!B278,"")),"")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IF([8]回答表!BD17="●",IF([8]回答表!X45="●",[8]回答表!E212,IF([8]回答表!AA45="●",[8]回答表!E278,"")),"")</f>
        <v/>
      </c>
      <c r="AN179" s="84"/>
      <c r="AO179" s="84"/>
      <c r="AP179" s="84"/>
      <c r="AQ179" s="83" t="str">
        <f>IF([8]回答表!BD17="●",IF([8]回答表!X45="●",[8]回答表!E213,IF([8]回答表!AA45="●",[8]回答表!E279,"")),"")</f>
        <v/>
      </c>
      <c r="AR179" s="84"/>
      <c r="AS179" s="84"/>
      <c r="AT179" s="84"/>
      <c r="AU179" s="83" t="str">
        <f>IF([8]回答表!BD17="●",IF([8]回答表!X45="●",[8]回答表!E214,IF([8]回答表!AA45="●",[8]回答表!E280,"")),"")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IF([8]回答表!BD17="●",IF([8]回答表!AA45="●","●",""),"")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IF([8]回答表!BD17="●",IF([8]回答表!AD45="●","●",""),"")</f>
        <v/>
      </c>
      <c r="O188" s="99"/>
      <c r="P188" s="99"/>
      <c r="Q188" s="100"/>
      <c r="R188" s="38"/>
      <c r="S188" s="38"/>
      <c r="T188" s="38"/>
      <c r="U188" s="107" t="str">
        <f>IF([8]回答表!BD17="●",IF([8]回答表!AD45="●",[8]回答表!B289,""),"")</f>
        <v/>
      </c>
      <c r="V188" s="108"/>
      <c r="W188" s="108"/>
      <c r="X188" s="108"/>
      <c r="Y188" s="108"/>
      <c r="Z188" s="108"/>
      <c r="AA188" s="108"/>
      <c r="AB188" s="108"/>
      <c r="AC188" s="108"/>
      <c r="AD188" s="108"/>
      <c r="AE188" s="108"/>
      <c r="AF188" s="108"/>
      <c r="AG188" s="108"/>
      <c r="AH188" s="108"/>
      <c r="AI188" s="108"/>
      <c r="AJ188" s="109"/>
      <c r="AK188" s="55"/>
      <c r="AL188" s="55"/>
      <c r="AM188" s="107" t="str">
        <f>IF([8]回答表!BD17="●",IF([8]回答表!AD45="●",[8]回答表!B295,""),"")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IF([8]回答表!X46="●","●","")</f>
        <v/>
      </c>
      <c r="O200" s="99"/>
      <c r="P200" s="99"/>
      <c r="Q200" s="100"/>
      <c r="R200" s="38"/>
      <c r="S200" s="38"/>
      <c r="T200" s="38"/>
      <c r="U200" s="107" t="str">
        <f>IF([8]回答表!X46="●",[8]回答表!B307,IF([8]回答表!AA46="●",[8]回答表!B324,""))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IF([8]回答表!X46="●",[8]回答表!U313,IF([8]回答表!AA46="●",[8]回答表!U330,""))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IF([8]回答表!X46="●",[8]回答表!G313,IF([8]回答表!AA46="●",[8]回答表!G330,""))</f>
        <v/>
      </c>
      <c r="AN203" s="120"/>
      <c r="AO203" s="120"/>
      <c r="AP203" s="120"/>
      <c r="AQ203" s="120"/>
      <c r="AR203" s="120"/>
      <c r="AS203" s="120"/>
      <c r="AT203" s="121"/>
      <c r="AU203" s="119" t="str">
        <f>IF([8]回答表!X46="●",[8]回答表!G314,IF([8]回答表!AA46="●",[8]回答表!G331,""))</f>
        <v/>
      </c>
      <c r="AV203" s="120"/>
      <c r="AW203" s="120"/>
      <c r="AX203" s="120"/>
      <c r="AY203" s="120"/>
      <c r="AZ203" s="120"/>
      <c r="BA203" s="120"/>
      <c r="BB203" s="121"/>
      <c r="BC203" s="39"/>
      <c r="BD203" s="34"/>
      <c r="BE203" s="34"/>
      <c r="BF203" s="83" t="str">
        <f>IF([8]回答表!X46="●",[8]回答表!X313,IF([8]回答表!AA46="●",[8]回答表!X330,""))</f>
        <v/>
      </c>
      <c r="BG203" s="84"/>
      <c r="BH203" s="84"/>
      <c r="BI203" s="84"/>
      <c r="BJ203" s="83" t="str">
        <f>IF([8]回答表!X46="●",[8]回答表!X314,IF([8]回答表!AA46="●",[8]回答表!X331,""))</f>
        <v/>
      </c>
      <c r="BK203" s="84"/>
      <c r="BL203" s="84"/>
      <c r="BM203" s="87"/>
      <c r="BN203" s="83" t="str">
        <f>IF([8]回答表!X46="●",[8]回答表!X315,IF([8]回答表!AA46="●",[8]回答表!X332,""))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IF([8]回答表!AA46="●","●","")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IF([8]回答表!AD46="●","●","")</f>
        <v/>
      </c>
      <c r="O212" s="99"/>
      <c r="P212" s="99"/>
      <c r="Q212" s="100"/>
      <c r="R212" s="38"/>
      <c r="S212" s="38"/>
      <c r="T212" s="38"/>
      <c r="U212" s="107" t="str">
        <f>IF([8]回答表!AD46="●",[8]回答表!B337,"")</f>
        <v/>
      </c>
      <c r="V212" s="108"/>
      <c r="W212" s="108"/>
      <c r="X212" s="108"/>
      <c r="Y212" s="108"/>
      <c r="Z212" s="108"/>
      <c r="AA212" s="108"/>
      <c r="AB212" s="108"/>
      <c r="AC212" s="108"/>
      <c r="AD212" s="108"/>
      <c r="AE212" s="108"/>
      <c r="AF212" s="108"/>
      <c r="AG212" s="108"/>
      <c r="AH212" s="108"/>
      <c r="AI212" s="108"/>
      <c r="AJ212" s="109"/>
      <c r="AK212" s="62"/>
      <c r="AL212" s="62"/>
      <c r="AM212" s="107" t="str">
        <f>IF([8]回答表!AD46="●",[8]回答表!B343,"")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IF([8]回答表!X47="●","●","")</f>
        <v/>
      </c>
      <c r="O224" s="99"/>
      <c r="P224" s="99"/>
      <c r="Q224" s="100"/>
      <c r="R224" s="38"/>
      <c r="S224" s="38"/>
      <c r="T224" s="38"/>
      <c r="U224" s="107" t="str">
        <f>IF([8]回答表!X47="●",[8]回答表!B356,IF([8]回答表!AA47="●",[8]回答表!B379,""))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IF([8]回答表!X47="●",[8]回答表!B362,"")</f>
        <v/>
      </c>
      <c r="AO224" s="182"/>
      <c r="AP224" s="182"/>
      <c r="AQ224" s="182"/>
      <c r="AR224" s="182"/>
      <c r="AS224" s="182"/>
      <c r="AT224" s="182"/>
      <c r="AU224" s="182"/>
      <c r="AV224" s="182"/>
      <c r="AW224" s="182"/>
      <c r="AX224" s="182"/>
      <c r="AY224" s="182"/>
      <c r="AZ224" s="182"/>
      <c r="BA224" s="182"/>
      <c r="BB224" s="183"/>
      <c r="BC224" s="39"/>
      <c r="BD224" s="34"/>
      <c r="BE224" s="34"/>
      <c r="BF224" s="116" t="str">
        <f>IF([8]回答表!X47="●",[8]回答表!B368,IF([8]回答表!AA47="●",[8]回答表!B385,""))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IF([8]回答表!X47="●",[8]回答表!E368,IF([8]回答表!AA47="●",[8]回答表!E385,""))</f>
        <v/>
      </c>
      <c r="BG227" s="84"/>
      <c r="BH227" s="84"/>
      <c r="BI227" s="84"/>
      <c r="BJ227" s="83" t="str">
        <f>IF([8]回答表!X47="●",[8]回答表!E369,IF([8]回答表!AA47="●",[8]回答表!E386,""))</f>
        <v/>
      </c>
      <c r="BK227" s="84"/>
      <c r="BL227" s="84"/>
      <c r="BM227" s="87"/>
      <c r="BN227" s="83" t="str">
        <f>IF([8]回答表!X47="●",[8]回答表!E370,IF([8]回答表!AA47="●",[8]回答表!E387,""))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IF([8]回答表!AA47="●","●","")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IF([8]回答表!AD47="●","●","")</f>
        <v/>
      </c>
      <c r="O236" s="99"/>
      <c r="P236" s="99"/>
      <c r="Q236" s="100"/>
      <c r="R236" s="38"/>
      <c r="S236" s="38"/>
      <c r="T236" s="38"/>
      <c r="U236" s="107" t="str">
        <f>IF([8]回答表!AD47="●",[8]回答表!B392,"")</f>
        <v/>
      </c>
      <c r="V236" s="108"/>
      <c r="W236" s="108"/>
      <c r="X236" s="108"/>
      <c r="Y236" s="108"/>
      <c r="Z236" s="108"/>
      <c r="AA236" s="108"/>
      <c r="AB236" s="108"/>
      <c r="AC236" s="108"/>
      <c r="AD236" s="108"/>
      <c r="AE236" s="108"/>
      <c r="AF236" s="108"/>
      <c r="AG236" s="108"/>
      <c r="AH236" s="108"/>
      <c r="AI236" s="108"/>
      <c r="AJ236" s="109"/>
      <c r="AK236" s="62"/>
      <c r="AL236" s="62"/>
      <c r="AM236" s="107" t="str">
        <f>IF([8]回答表!AD47="●",[8]回答表!B398,"")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IF([8]回答表!X48="●","●","")</f>
        <v/>
      </c>
      <c r="O248" s="99"/>
      <c r="P248" s="99"/>
      <c r="Q248" s="100"/>
      <c r="R248" s="38"/>
      <c r="S248" s="38"/>
      <c r="T248" s="38"/>
      <c r="U248" s="107" t="str">
        <f>IF([8]回答表!X48="●",[8]回答表!B411,IF([8]回答表!AA48="●",[8]回答表!B425,""))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IF([8]回答表!X48="●",[8]回答表!BC418,IF([8]回答表!AA48="●",[8]回答表!BC432,""))</f>
        <v/>
      </c>
      <c r="AR248" s="151"/>
      <c r="AS248" s="151"/>
      <c r="AT248" s="151"/>
      <c r="AU248" s="173" t="s">
        <v>73</v>
      </c>
      <c r="AV248" s="174"/>
      <c r="AW248" s="174"/>
      <c r="AX248" s="175"/>
      <c r="AY248" s="151" t="str">
        <f>IF([8]回答表!X48="●",[8]回答表!BC423,IF([8]回答表!AA48="●",[8]回答表!BC437,""))</f>
        <v/>
      </c>
      <c r="AZ248" s="151"/>
      <c r="BA248" s="151"/>
      <c r="BB248" s="151"/>
      <c r="BC248" s="39"/>
      <c r="BD248" s="34"/>
      <c r="BE248" s="34"/>
      <c r="BF248" s="116" t="str">
        <f>IF([8]回答表!X48="●",[8]回答表!S417,IF([8]回答表!AA48="●",[8]回答表!S431,""))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IF([8]回答表!X48="●",[8]回答表!BC419,IF([8]回答表!AA48="●",[8]回答表!BC433,""))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IF([8]回答表!X48="●",[8]回答表!V417,IF([8]回答表!AA48="●",[8]回答表!V431,""))</f>
        <v/>
      </c>
      <c r="BG251" s="84"/>
      <c r="BH251" s="84"/>
      <c r="BI251" s="84"/>
      <c r="BJ251" s="83" t="str">
        <f>IF([8]回答表!X48="●",[8]回答表!V418,IF([8]回答表!AA48="●",[8]回答表!V432,""))</f>
        <v/>
      </c>
      <c r="BK251" s="84"/>
      <c r="BL251" s="84"/>
      <c r="BM251" s="87"/>
      <c r="BN251" s="83" t="str">
        <f>IF([8]回答表!X48="●",[8]回答表!V419,IF([8]回答表!AA48="●",[8]回答表!V433,""))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IF([8]回答表!X48="●",[8]回答表!BC420,IF([8]回答表!AA48="●",[8]回答表!BC434,""))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IF([8]回答表!X48="●",[8]回答表!BC424,IF([8]回答表!AA48="●",[8]回答表!BC438,""))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IF([8]回答表!AA48="●","●","")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IF([8]回答表!X48="●",[8]回答表!BC421,IF([8]回答表!AA48="●",[8]回答表!BC435,""))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IF([8]回答表!X48="●",[8]回答表!BC422,IF([8]回答表!AA48="●",[8]回答表!BC436,""))</f>
        <v/>
      </c>
      <c r="AR256" s="151"/>
      <c r="AS256" s="151"/>
      <c r="AT256" s="151"/>
      <c r="AU256" s="152" t="s">
        <v>79</v>
      </c>
      <c r="AV256" s="153"/>
      <c r="AW256" s="153"/>
      <c r="AX256" s="154"/>
      <c r="AY256" s="158" t="str">
        <f>IF([8]回答表!X48="●",[8]回答表!BC425,IF([8]回答表!AA48="●",[8]回答表!BC439,""))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IF([8]回答表!AD48="●","●","")</f>
        <v/>
      </c>
      <c r="O260" s="99"/>
      <c r="P260" s="99"/>
      <c r="Q260" s="100"/>
      <c r="R260" s="38"/>
      <c r="S260" s="38"/>
      <c r="T260" s="38"/>
      <c r="U260" s="107" t="str">
        <f>IF([8]回答表!AD48="●",[8]回答表!B439,"")</f>
        <v/>
      </c>
      <c r="V260" s="108"/>
      <c r="W260" s="108"/>
      <c r="X260" s="108"/>
      <c r="Y260" s="108"/>
      <c r="Z260" s="108"/>
      <c r="AA260" s="108"/>
      <c r="AB260" s="108"/>
      <c r="AC260" s="108"/>
      <c r="AD260" s="108"/>
      <c r="AE260" s="108"/>
      <c r="AF260" s="108"/>
      <c r="AG260" s="108"/>
      <c r="AH260" s="108"/>
      <c r="AI260" s="108"/>
      <c r="AJ260" s="109"/>
      <c r="AK260" s="55"/>
      <c r="AL260" s="55"/>
      <c r="AM260" s="107" t="str">
        <f>IF([8]回答表!AD48="●",[8]回答表!B445,"")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IF([8]回答表!X49="●","●","")</f>
        <v/>
      </c>
      <c r="O271" s="99"/>
      <c r="P271" s="99"/>
      <c r="Q271" s="100"/>
      <c r="R271" s="38"/>
      <c r="S271" s="38"/>
      <c r="T271" s="38"/>
      <c r="U271" s="107" t="str">
        <f>IF([8]回答表!X49="●",[8]回答表!B458,IF([8]回答表!AA49="●",[8]回答表!B475,""))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IF([8]回答表!X49="●",[8]回答表!B468,IF([8]回答表!AA49="●",[8]回答表!B485,""))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IF([8]回答表!X49="●",[8]回答表!G464,IF([8]回答表!AA49="●",[8]回答表!G481,""))</f>
        <v/>
      </c>
      <c r="AN273" s="120"/>
      <c r="AO273" s="120"/>
      <c r="AP273" s="120"/>
      <c r="AQ273" s="120"/>
      <c r="AR273" s="120"/>
      <c r="AS273" s="120"/>
      <c r="AT273" s="121"/>
      <c r="AU273" s="119" t="str">
        <f>IF([8]回答表!X49="●",[8]回答表!G465,IF([8]回答表!AA49="●",[8]回答表!G482,""))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IF([8]回答表!X49="●",[8]回答表!E468,IF([8]回答表!AA49="●",[8]回答表!E485,""))</f>
        <v/>
      </c>
      <c r="BG274" s="84"/>
      <c r="BH274" s="84"/>
      <c r="BI274" s="84"/>
      <c r="BJ274" s="83" t="str">
        <f>IF([8]回答表!X49="●",[8]回答表!E469,IF([8]回答表!AA49="●",[8]回答表!E486,""))</f>
        <v/>
      </c>
      <c r="BK274" s="84"/>
      <c r="BL274" s="84"/>
      <c r="BM274" s="87"/>
      <c r="BN274" s="83" t="str">
        <f>IF([8]回答表!X49="●",[8]回答表!E470,IF([8]回答表!AA49="●",[8]回答表!E487,""))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IF([8]回答表!AA49="●","●","")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IF([8]回答表!AD49="●","●","")</f>
        <v/>
      </c>
      <c r="O283" s="99"/>
      <c r="P283" s="99"/>
      <c r="Q283" s="100"/>
      <c r="R283" s="38"/>
      <c r="S283" s="38"/>
      <c r="T283" s="38"/>
      <c r="U283" s="107" t="str">
        <f>IF([8]回答表!AD49="●",[8]回答表!B492,"")</f>
        <v/>
      </c>
      <c r="V283" s="108"/>
      <c r="W283" s="108"/>
      <c r="X283" s="108"/>
      <c r="Y283" s="108"/>
      <c r="Z283" s="108"/>
      <c r="AA283" s="108"/>
      <c r="AB283" s="108"/>
      <c r="AC283" s="108"/>
      <c r="AD283" s="108"/>
      <c r="AE283" s="108"/>
      <c r="AF283" s="108"/>
      <c r="AG283" s="108"/>
      <c r="AH283" s="108"/>
      <c r="AI283" s="108"/>
      <c r="AJ283" s="109"/>
      <c r="AK283" s="49"/>
      <c r="AL283" s="49"/>
      <c r="AM283" s="107" t="str">
        <f>IF([8]回答表!AD49="●",[8]回答表!B498,"")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IF([8]回答表!R50="●",[8]回答表!B511,"")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4D870-53CC-4FD6-83B6-F8E2143DECA9}">
  <sheetPr>
    <pageSetUpPr fitToPage="1"/>
  </sheetPr>
  <dimension ref="A1:CN315"/>
  <sheetViews>
    <sheetView showZeros="0" view="pageBreakPreview" zoomScale="60" zoomScaleNormal="55" workbookViewId="0">
      <selection activeCell="BL1" sqref="BL1"/>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IF(COUNTIF([12]回答表!K15,"*")&gt;0,[12]回答表!K15,"")</f>
        <v>大館市</v>
      </c>
      <c r="D11" s="299"/>
      <c r="E11" s="299"/>
      <c r="F11" s="299"/>
      <c r="G11" s="299"/>
      <c r="H11" s="299"/>
      <c r="I11" s="299"/>
      <c r="J11" s="299"/>
      <c r="K11" s="299"/>
      <c r="L11" s="299"/>
      <c r="M11" s="299"/>
      <c r="N11" s="299"/>
      <c r="O11" s="299"/>
      <c r="P11" s="299"/>
      <c r="Q11" s="299"/>
      <c r="R11" s="299"/>
      <c r="S11" s="299"/>
      <c r="T11" s="299"/>
      <c r="U11" s="306" t="str">
        <f>IF(COUNTIF([12]回答表!F17,"*")&gt;0,[12]回答表!F17,"")</f>
        <v>病院事業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IF(COUNTIF([12]回答表!W17,"*")&gt;0,[12]回答表!W17,"")</f>
        <v>―</v>
      </c>
      <c r="AP11" s="301"/>
      <c r="AQ11" s="301"/>
      <c r="AR11" s="301"/>
      <c r="AS11" s="301"/>
      <c r="AT11" s="301"/>
      <c r="AU11" s="301"/>
      <c r="AV11" s="301"/>
      <c r="AW11" s="301"/>
      <c r="AX11" s="301"/>
      <c r="AY11" s="301"/>
      <c r="AZ11" s="301"/>
      <c r="BA11" s="301"/>
      <c r="BB11" s="301"/>
      <c r="BC11" s="301"/>
      <c r="BD11" s="301"/>
      <c r="BE11" s="301"/>
      <c r="BF11" s="302"/>
      <c r="BG11" s="305" t="str">
        <f>IF(COUNTIF([12]回答表!F19,"*")&gt;0,[12]回答表!F19,"")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IF([12]回答表!R43="●","●","")</f>
        <v/>
      </c>
      <c r="E24" s="123"/>
      <c r="F24" s="123"/>
      <c r="G24" s="123"/>
      <c r="H24" s="123"/>
      <c r="I24" s="123"/>
      <c r="J24" s="124"/>
      <c r="K24" s="122" t="str">
        <f>IF([12]回答表!R44="●","●","")</f>
        <v/>
      </c>
      <c r="L24" s="123"/>
      <c r="M24" s="123"/>
      <c r="N24" s="123"/>
      <c r="O24" s="123"/>
      <c r="P24" s="123"/>
      <c r="Q24" s="124"/>
      <c r="R24" s="122" t="str">
        <f>IF([12]回答表!R45="●","●","")</f>
        <v/>
      </c>
      <c r="S24" s="123"/>
      <c r="T24" s="123"/>
      <c r="U24" s="123"/>
      <c r="V24" s="123"/>
      <c r="W24" s="123"/>
      <c r="X24" s="124"/>
      <c r="Y24" s="122" t="str">
        <f>IF([12]回答表!R46="●","●","")</f>
        <v/>
      </c>
      <c r="Z24" s="123"/>
      <c r="AA24" s="123"/>
      <c r="AB24" s="123"/>
      <c r="AC24" s="123"/>
      <c r="AD24" s="123"/>
      <c r="AE24" s="124"/>
      <c r="AF24" s="122" t="str">
        <f>IF([12]回答表!R47="●","●","")</f>
        <v/>
      </c>
      <c r="AG24" s="123"/>
      <c r="AH24" s="123"/>
      <c r="AI24" s="123"/>
      <c r="AJ24" s="123"/>
      <c r="AK24" s="123"/>
      <c r="AL24" s="124"/>
      <c r="AM24" s="122" t="str">
        <f>IF([12]回答表!R48="●","●","")</f>
        <v/>
      </c>
      <c r="AN24" s="123"/>
      <c r="AO24" s="123"/>
      <c r="AP24" s="123"/>
      <c r="AQ24" s="123"/>
      <c r="AR24" s="123"/>
      <c r="AS24" s="124"/>
      <c r="AT24" s="122" t="str">
        <f>IF([12]回答表!R49="●","●","")</f>
        <v/>
      </c>
      <c r="AU24" s="123"/>
      <c r="AV24" s="123"/>
      <c r="AW24" s="123"/>
      <c r="AX24" s="123"/>
      <c r="AY24" s="123"/>
      <c r="AZ24" s="124"/>
      <c r="BA24" s="18"/>
      <c r="BB24" s="119" t="str">
        <f>IF([12]回答表!R50="●","●","")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IF([12]回答表!X43="●","●","")</f>
        <v/>
      </c>
      <c r="O36" s="99"/>
      <c r="P36" s="99"/>
      <c r="Q36" s="100"/>
      <c r="R36" s="38"/>
      <c r="S36" s="38"/>
      <c r="T36" s="38"/>
      <c r="U36" s="107" t="str">
        <f>IF([12]回答表!X43="●",[12]回答表!B59,IF([12]回答表!AA43="●",[12]回答表!B79,""))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IF([12]回答表!X43="●",[12]回答表!S65,IF([12]回答表!AA43="●",[12]回答表!S85,""))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IF([12]回答表!X43="●",[12]回答表!G65,IF([12]回答表!AA43="●",[12]回答表!G85,""))</f>
        <v/>
      </c>
      <c r="AN38" s="120"/>
      <c r="AO38" s="120"/>
      <c r="AP38" s="120"/>
      <c r="AQ38" s="120"/>
      <c r="AR38" s="120"/>
      <c r="AS38" s="120"/>
      <c r="AT38" s="121"/>
      <c r="AU38" s="119" t="str">
        <f>IF([12]回答表!X43="●",[12]回答表!G66,IF([12]回答表!AA43="●",[12]回答表!G86,""))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IF([12]回答表!X43="●",[12]回答表!V65,IF([12]回答表!AA43="●",[12]回答表!V85,""))</f>
        <v/>
      </c>
      <c r="BG39" s="249"/>
      <c r="BH39" s="249"/>
      <c r="BI39" s="250"/>
      <c r="BJ39" s="83" t="str">
        <f>IF([12]回答表!X43="●",[12]回答表!V66,IF([12]回答表!AA43="●",[12]回答表!V86,""))</f>
        <v/>
      </c>
      <c r="BK39" s="249"/>
      <c r="BL39" s="249"/>
      <c r="BM39" s="250"/>
      <c r="BN39" s="83" t="str">
        <f>IF([12]回答表!X43="●",[12]回答表!V67,IF([12]回答表!AA43="●",[12]回答表!V87,""))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IF([12]回答表!X43="●",[12]回答表!O71,IF([12]回答表!AA43="●",[12]回答表!O91,""))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IF([12]回答表!X43="●",[12]回答表!O72,IF([12]回答表!AA43="●",[12]回答表!O92,""))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IF([12]回答表!X43="●",[12]回答表!O73,IF([12]回答表!AA43="●",[12]回答表!O93,""))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IF([12]回答表!X43="●",[12]回答表!O74,IF([12]回答表!AA43="●",[12]回答表!O94,""))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IF([12]回答表!X43="●",[12]回答表!AG71,IF([12]回答表!AA43="●",[12]回答表!AG91,""))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IF([12]回答表!X43="●",[12]回答表!AG72,IF([12]回答表!AA43="●",[12]回答表!AG92,""))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IF([12]回答表!AD43="●","●","")</f>
        <v/>
      </c>
      <c r="O51" s="99"/>
      <c r="P51" s="99"/>
      <c r="Q51" s="100"/>
      <c r="R51" s="38"/>
      <c r="S51" s="38"/>
      <c r="T51" s="38"/>
      <c r="U51" s="107" t="str">
        <f>IF([12]回答表!AD43="●",[12]回答表!B99,"")</f>
        <v/>
      </c>
      <c r="V51" s="108"/>
      <c r="W51" s="108"/>
      <c r="X51" s="108"/>
      <c r="Y51" s="108"/>
      <c r="Z51" s="108"/>
      <c r="AA51" s="108"/>
      <c r="AB51" s="108"/>
      <c r="AC51" s="108"/>
      <c r="AD51" s="108"/>
      <c r="AE51" s="108"/>
      <c r="AF51" s="108"/>
      <c r="AG51" s="108"/>
      <c r="AH51" s="108"/>
      <c r="AI51" s="108"/>
      <c r="AJ51" s="109"/>
      <c r="AK51" s="55"/>
      <c r="AL51" s="55"/>
      <c r="AM51" s="107" t="str">
        <f>IF([12]回答表!AD43="●",[12]回答表!B104,"")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IF([12]回答表!X44="●","●","")</f>
        <v/>
      </c>
      <c r="O62" s="99"/>
      <c r="P62" s="99"/>
      <c r="Q62" s="100"/>
      <c r="R62" s="38"/>
      <c r="S62" s="38"/>
      <c r="T62" s="38"/>
      <c r="U62" s="107" t="str">
        <f>IF([12]回答表!X44="●",[12]回答表!B115,IF([12]回答表!AA44="●",[12]回答表!B127,""))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IF([12]回答表!X44="●",[12]回答表!S121,IF([12]回答表!AA44="●",[12]回答表!S133,""))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IF([12]回答表!X44="●",[12]回答表!J121,IF([12]回答表!AA44="●",[12]回答表!J133,""))</f>
        <v/>
      </c>
      <c r="AN65" s="120"/>
      <c r="AO65" s="120"/>
      <c r="AP65" s="120"/>
      <c r="AQ65" s="120"/>
      <c r="AR65" s="120"/>
      <c r="AS65" s="120"/>
      <c r="AT65" s="121"/>
      <c r="AU65" s="119" t="str">
        <f>IF([12]回答表!X44="●",[12]回答表!J122,IF([12]回答表!AA44="●",[12]回答表!J134,""))</f>
        <v/>
      </c>
      <c r="AV65" s="120"/>
      <c r="AW65" s="120"/>
      <c r="AX65" s="120"/>
      <c r="AY65" s="120"/>
      <c r="AZ65" s="120"/>
      <c r="BA65" s="120"/>
      <c r="BB65" s="121"/>
      <c r="BC65" s="39"/>
      <c r="BD65" s="34"/>
      <c r="BE65" s="34"/>
      <c r="BF65" s="83" t="str">
        <f>IF([12]回答表!X44="●",[12]回答表!V121,IF([12]回答表!AA44="●",[12]回答表!V133,""))</f>
        <v/>
      </c>
      <c r="BG65" s="84"/>
      <c r="BH65" s="84"/>
      <c r="BI65" s="84"/>
      <c r="BJ65" s="83" t="str">
        <f>IF([12]回答表!X44="●",[12]回答表!V122,IF([12]回答表!AA44="●",[12]回答表!V134,""))</f>
        <v/>
      </c>
      <c r="BK65" s="84"/>
      <c r="BL65" s="84"/>
      <c r="BM65" s="84"/>
      <c r="BN65" s="83" t="str">
        <f>IF([12]回答表!X44="●",[12]回答表!V123,IF([12]回答表!AA44="●",[12]回答表!V135,""))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IF([12]回答表!AD44="●","●","")</f>
        <v/>
      </c>
      <c r="O74" s="99"/>
      <c r="P74" s="99"/>
      <c r="Q74" s="100"/>
      <c r="R74" s="38"/>
      <c r="S74" s="38"/>
      <c r="T74" s="38"/>
      <c r="U74" s="107" t="str">
        <f>IF([12]回答表!AD44="●",[12]回答表!B140,"")</f>
        <v/>
      </c>
      <c r="V74" s="108"/>
      <c r="W74" s="108"/>
      <c r="X74" s="108"/>
      <c r="Y74" s="108"/>
      <c r="Z74" s="108"/>
      <c r="AA74" s="108"/>
      <c r="AB74" s="108"/>
      <c r="AC74" s="108"/>
      <c r="AD74" s="108"/>
      <c r="AE74" s="108"/>
      <c r="AF74" s="108"/>
      <c r="AG74" s="108"/>
      <c r="AH74" s="108"/>
      <c r="AI74" s="108"/>
      <c r="AJ74" s="109"/>
      <c r="AK74" s="55"/>
      <c r="AL74" s="55"/>
      <c r="AM74" s="107" t="str">
        <f>IF([12]回答表!AD44="●",[12]回答表!B146,"")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IF([12]回答表!F17="水道事業",IF([12]回答表!X45="●","●",""),"")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IF([12]回答表!F17="水道事業",IF([12]回答表!X45="●",[12]回答表!B158,IF([12]回答表!AA45="●",[12]回答表!B223,"")),"")</f>
        <v/>
      </c>
      <c r="AN86" s="212"/>
      <c r="AO86" s="212"/>
      <c r="AP86" s="212"/>
      <c r="AQ86" s="212"/>
      <c r="AR86" s="212"/>
      <c r="AS86" s="212"/>
      <c r="AT86" s="212"/>
      <c r="AU86" s="212"/>
      <c r="AV86" s="212"/>
      <c r="AW86" s="212"/>
      <c r="AX86" s="212"/>
      <c r="AY86" s="212"/>
      <c r="AZ86" s="212"/>
      <c r="BA86" s="212"/>
      <c r="BB86" s="212"/>
      <c r="BC86" s="213"/>
      <c r="BD86" s="34"/>
      <c r="BE86" s="34"/>
      <c r="BF86" s="116" t="str">
        <f>IF([12]回答表!F17="水道事業",IF([12]回答表!X45="●",[12]回答表!B212,IF([12]回答表!AA45="●",[12]回答表!B278,"")),"")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IF([12]回答表!F17="水道事業",IF([12]回答表!X45="●",[12]回答表!J166,IF([12]回答表!AA45="●",[12]回答表!J231,"")),"")</f>
        <v/>
      </c>
      <c r="V88" s="120"/>
      <c r="W88" s="120"/>
      <c r="X88" s="120"/>
      <c r="Y88" s="120"/>
      <c r="Z88" s="120"/>
      <c r="AA88" s="120"/>
      <c r="AB88" s="121"/>
      <c r="AC88" s="119" t="str">
        <f>IF([12]回答表!F17="水道事業",IF([12]回答表!X45="●",[12]回答表!J173,IF([12]回答表!AA45="●",[12]回答表!J238,"")),"")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IF([12]回答表!F17="水道事業",IF([12]回答表!X45="●",[12]回答表!E212,IF([12]回答表!AA45="●",[12]回答表!E278,"")),"")</f>
        <v/>
      </c>
      <c r="BG89" s="84"/>
      <c r="BH89" s="84"/>
      <c r="BI89" s="84"/>
      <c r="BJ89" s="83" t="str">
        <f>IF([12]回答表!F17="水道事業",IF([12]回答表!X45="●",[12]回答表!E213,IF([12]回答表!AA45="●",[12]回答表!E279,"")),"")</f>
        <v/>
      </c>
      <c r="BK89" s="84"/>
      <c r="BL89" s="84"/>
      <c r="BM89" s="84"/>
      <c r="BN89" s="83" t="str">
        <f>IF([12]回答表!F17="水道事業",IF([12]回答表!X45="●",[12]回答表!E214,IF([12]回答表!AA45="●",[12]回答表!E280,"")),"")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IF([12]回答表!F17="水道事業",IF([12]回答表!AA45="●","●",""),"")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IF([12]回答表!F17="水道事業",IF([12]回答表!X45="●",[12]回答表!J176,IF([12]回答表!AA45="●",[12]回答表!J241,"")),"")</f>
        <v/>
      </c>
      <c r="V93" s="120"/>
      <c r="W93" s="120"/>
      <c r="X93" s="120"/>
      <c r="Y93" s="120"/>
      <c r="Z93" s="120"/>
      <c r="AA93" s="120"/>
      <c r="AB93" s="121"/>
      <c r="AC93" s="119" t="str">
        <f>IF([12]回答表!F17="水道事業",IF([12]回答表!X45="●",[12]回答表!J180,IF([12]回答表!AA45="●",[12]回答表!J245,"")),"")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IF([12]回答表!F17="水道事業",IF([12]回答表!AD45="●","●",""),"")</f>
        <v/>
      </c>
      <c r="O98" s="99"/>
      <c r="P98" s="99"/>
      <c r="Q98" s="100"/>
      <c r="R98" s="38"/>
      <c r="S98" s="38"/>
      <c r="T98" s="38"/>
      <c r="U98" s="107" t="str">
        <f>IF([12]回答表!F17="水道事業",IF([12]回答表!AD45="●",[12]回答表!B289,""),"")</f>
        <v/>
      </c>
      <c r="V98" s="108"/>
      <c r="W98" s="108"/>
      <c r="X98" s="108"/>
      <c r="Y98" s="108"/>
      <c r="Z98" s="108"/>
      <c r="AA98" s="108"/>
      <c r="AB98" s="108"/>
      <c r="AC98" s="108"/>
      <c r="AD98" s="108"/>
      <c r="AE98" s="108"/>
      <c r="AF98" s="108"/>
      <c r="AG98" s="108"/>
      <c r="AH98" s="108"/>
      <c r="AI98" s="108"/>
      <c r="AJ98" s="109"/>
      <c r="AK98" s="55"/>
      <c r="AL98" s="55"/>
      <c r="AM98" s="107" t="str">
        <f>IF([12]回答表!F17="水道事業",IF([12]回答表!AD45="●",[12]回答表!B295,""),"")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IF([12]回答表!F17="簡易水道事業",IF([12]回答表!X45="●",[12]回答表!B158,IF([12]回答表!AA45="●",[12]回答表!B223,"")),"")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IF([12]回答表!F17="簡易水道事業",IF([12]回答表!X45="●",[12]回答表!B212,IF([12]回答表!AA45="●",[12]回答表!B278,"")),"")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IF([12]回答表!F17="簡易水道事業",IF([12]回答表!X45="●","●",""),"")</f>
        <v/>
      </c>
      <c r="O112" s="99"/>
      <c r="P112" s="99"/>
      <c r="Q112" s="100"/>
      <c r="R112" s="38"/>
      <c r="S112" s="38"/>
      <c r="T112" s="38"/>
      <c r="U112" s="119" t="str">
        <f>IF([12]回答表!F17="簡易水道事業",IF([12]回答表!X45="●",[12]回答表!Y185,IF([12]回答表!AA45="●",[12]回答表!Y251,"")),"")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IF([12]回答表!F17="簡易水道事業",IF([12]回答表!X45="●",[12]回答表!E212,IF([12]回答表!AA45="●",[12]回答表!E278,"")),"")</f>
        <v/>
      </c>
      <c r="BG113" s="84"/>
      <c r="BH113" s="84"/>
      <c r="BI113" s="84"/>
      <c r="BJ113" s="83" t="str">
        <f>IF([12]回答表!F17="簡易水道事業",IF([12]回答表!X45="●",[12]回答表!E213,IF([12]回答表!AA45="●",[12]回答表!E279,"")),"")</f>
        <v/>
      </c>
      <c r="BK113" s="84"/>
      <c r="BL113" s="84"/>
      <c r="BM113" s="84"/>
      <c r="BN113" s="83" t="str">
        <f>IF([12]回答表!F17="簡易水道事業",IF([12]回答表!X45="●",[12]回答表!E214,IF([12]回答表!AA45="●",[12]回答表!E280,"")),"")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IF([12]回答表!F17="簡易水道事業",IF([12]回答表!X45="●",[12]回答表!Y186,IF([12]回答表!AA45="●",[12]回答表!Y252,"")),"")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IF([12]回答表!F17="簡易水道事業",IF([12]回答表!AA45="●","●",""),"")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IF([12]回答表!F17="簡易水道事業",IF([12]回答表!X45="●",[12]回答表!Y187,IF([12]回答表!AA45="●",[12]回答表!Y253,"")),"")</f>
        <v/>
      </c>
      <c r="V122" s="120"/>
      <c r="W122" s="120"/>
      <c r="X122" s="120"/>
      <c r="Y122" s="120"/>
      <c r="Z122" s="120"/>
      <c r="AA122" s="120"/>
      <c r="AB122" s="120"/>
      <c r="AC122" s="120"/>
      <c r="AD122" s="120"/>
      <c r="AE122" s="120"/>
      <c r="AF122" s="120"/>
      <c r="AG122" s="120"/>
      <c r="AH122" s="120"/>
      <c r="AI122" s="120"/>
      <c r="AJ122" s="121"/>
      <c r="AK122" s="18"/>
      <c r="AL122" s="18"/>
      <c r="AM122" s="228" t="str">
        <f>IF([12]回答表!F17="簡易水道事業",IF([12]回答表!X45="●",[12]回答表!Y189,IF([12]回答表!AA45="●",[12]回答表!Y255,"")),"")</f>
        <v/>
      </c>
      <c r="AN122" s="228"/>
      <c r="AO122" s="228"/>
      <c r="AP122" s="228"/>
      <c r="AQ122" s="228"/>
      <c r="AR122" s="228"/>
      <c r="AS122" s="228" t="str">
        <f>IF([12]回答表!F17="簡易水道事業",IF([12]回答表!X45="●",[12]回答表!Y190,IF([12]回答表!AA45="●",[12]回答表!Y256,"")),"")</f>
        <v/>
      </c>
      <c r="AT122" s="228"/>
      <c r="AU122" s="228"/>
      <c r="AV122" s="228"/>
      <c r="AW122" s="228"/>
      <c r="AX122" s="228"/>
      <c r="AY122" s="228" t="str">
        <f>IF([12]回答表!F17="簡易水道事業",IF([12]回答表!X45="●",[12]回答表!Y191,IF([12]回答表!AA45="●",[12]回答表!Y257,"")),"")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IF([12]回答表!F17="簡易水道事業",IF([12]回答表!AD45="●","●",""),"")</f>
        <v/>
      </c>
      <c r="O127" s="99"/>
      <c r="P127" s="99"/>
      <c r="Q127" s="100"/>
      <c r="R127" s="38"/>
      <c r="S127" s="38"/>
      <c r="T127" s="38"/>
      <c r="U127" s="107" t="str">
        <f>IF([12]回答表!F17="簡易水道事業",IF([12]回答表!AD45="●",[12]回答表!B289,""),"")</f>
        <v/>
      </c>
      <c r="V127" s="108"/>
      <c r="W127" s="108"/>
      <c r="X127" s="108"/>
      <c r="Y127" s="108"/>
      <c r="Z127" s="108"/>
      <c r="AA127" s="108"/>
      <c r="AB127" s="108"/>
      <c r="AC127" s="108"/>
      <c r="AD127" s="108"/>
      <c r="AE127" s="108"/>
      <c r="AF127" s="108"/>
      <c r="AG127" s="108"/>
      <c r="AH127" s="108"/>
      <c r="AI127" s="108"/>
      <c r="AJ127" s="109"/>
      <c r="AK127" s="55"/>
      <c r="AL127" s="55"/>
      <c r="AM127" s="107" t="str">
        <f>IF([12]回答表!F17="簡易水道事業",IF([12]回答表!AD45="●",[12]回答表!B295,""),"")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IF([12]回答表!F17="下水道事業",IF([12]回答表!X45="●","●",""),"")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IF([12]回答表!F17="下水道事業",IF([12]回答表!X45="●",[12]回答表!B158,IF([12]回答表!AA45="●",[12]回答表!B223,"")),"")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IF([12]回答表!F17="下水道事業",IF([12]回答表!X45="●",[12]回答表!B212,IF([12]回答表!AA45="●",[12]回答表!B278,"")),"")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IF([12]回答表!F17="下水道事業",IF([12]回答表!X45="●",[12]回答表!Y193,IF([12]回答表!AA45="●",[12]回答表!Y259,"")),"")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IF([12]回答表!F17="下水道事業",IF([12]回答表!X45="●",[12]回答表!E212,IF([12]回答表!AA45="●",[12]回答表!E278,"")),"")</f>
        <v/>
      </c>
      <c r="BG142" s="84"/>
      <c r="BH142" s="84"/>
      <c r="BI142" s="84"/>
      <c r="BJ142" s="83" t="str">
        <f>IF([12]回答表!F17="下水道事業",IF([12]回答表!X45="●",[12]回答表!E213,IF([12]回答表!AA45="●",[12]回答表!E279,"")),"")</f>
        <v/>
      </c>
      <c r="BK142" s="84"/>
      <c r="BL142" s="84"/>
      <c r="BM142" s="84"/>
      <c r="BN142" s="83" t="str">
        <f>IF([12]回答表!F17="下水道事業",IF([12]回答表!X45="●",[12]回答表!E214,IF([12]回答表!AA45="●",[12]回答表!E280,"")),"")</f>
        <v/>
      </c>
      <c r="BO142" s="84"/>
      <c r="BP142" s="84"/>
      <c r="BQ142" s="87"/>
      <c r="BR142" s="37"/>
      <c r="BX142" s="211" t="str">
        <f>IF([12]回答表!AQ20="下水道事業",IF([12]回答表!BI48="○",[12]回答表!AM161,IF([12]回答表!BL48="○",[12]回答表!AM226,"")),"")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IF([12]回答表!F17="下水道事業",IF([12]回答表!X45="●",[12]回答表!Y195,IF([12]回答表!AA45="●",[12]回答表!Y261,"")),"")</f>
        <v/>
      </c>
      <c r="V147" s="120"/>
      <c r="W147" s="120"/>
      <c r="X147" s="120"/>
      <c r="Y147" s="120"/>
      <c r="Z147" s="120"/>
      <c r="AA147" s="120"/>
      <c r="AB147" s="121"/>
      <c r="AC147" s="119" t="str">
        <f>IF([12]回答表!F17="下水道事業",IF([12]回答表!X45="●",[12]回答表!Y196,IF([12]回答表!AA45="●",[12]回答表!Y262,"")),"")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IF([12]回答表!F17="下水道事業",IF([12]回答表!X45="●",[12]回答表!Y198,IF([12]回答表!AA45="●",[12]回答表!Y264,"")),"")</f>
        <v/>
      </c>
      <c r="V153" s="120"/>
      <c r="W153" s="120"/>
      <c r="X153" s="120"/>
      <c r="Y153" s="120"/>
      <c r="Z153" s="120"/>
      <c r="AA153" s="120"/>
      <c r="AB153" s="121"/>
      <c r="AC153" s="119" t="str">
        <f>IF([12]回答表!F17="下水道事業",IF([12]回答表!X45="●",[12]回答表!Y199,IF([12]回答表!AA45="●",[12]回答表!Y265,"")),"")</f>
        <v/>
      </c>
      <c r="AD153" s="120"/>
      <c r="AE153" s="120"/>
      <c r="AF153" s="120"/>
      <c r="AG153" s="120"/>
      <c r="AH153" s="120"/>
      <c r="AI153" s="120"/>
      <c r="AJ153" s="121"/>
      <c r="AK153" s="119" t="str">
        <f>IF([12]回答表!F17="下水道事業",IF([12]回答表!X45="●",[12]回答表!Y200,IF([12]回答表!AA45="●",[12]回答表!Y266,"")),"")</f>
        <v/>
      </c>
      <c r="AL153" s="120"/>
      <c r="AM153" s="120"/>
      <c r="AN153" s="120"/>
      <c r="AO153" s="120"/>
      <c r="AP153" s="120"/>
      <c r="AQ153" s="120"/>
      <c r="AR153" s="121"/>
      <c r="AS153" s="119" t="str">
        <f>IF([12]回答表!F17="下水道事業",IF([12]回答表!X45="●",[12]回答表!Y201,IF([12]回答表!AA45="●",[12]回答表!Y267,"")),"")</f>
        <v/>
      </c>
      <c r="AT153" s="120"/>
      <c r="AU153" s="120"/>
      <c r="AV153" s="120"/>
      <c r="AW153" s="120"/>
      <c r="AX153" s="120"/>
      <c r="AY153" s="120"/>
      <c r="AZ153" s="121"/>
      <c r="BA153" s="119" t="str">
        <f>IF([12]回答表!F17="下水道事業",IF([12]回答表!X45="●",[12]回答表!Y202,IF([12]回答表!AA45="●",[12]回答表!Y268,"")),"")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IF([12]回答表!F17="下水道事業",IF([12]回答表!AA45="●","●",""),"")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IF([12]回答表!F17="下水道事業",IF([12]回答表!X45="●",[12]回答表!Y207,IF([12]回答表!AA45="●",[12]回答表!Y273,"")),"")</f>
        <v/>
      </c>
      <c r="V159" s="120"/>
      <c r="W159" s="120"/>
      <c r="X159" s="120"/>
      <c r="Y159" s="120"/>
      <c r="Z159" s="120"/>
      <c r="AA159" s="120"/>
      <c r="AB159" s="121"/>
      <c r="AC159" s="119" t="str">
        <f>IF([12]回答表!F17="下水道事業",IF([12]回答表!X45="●",[12]回答表!Y208,IF([12]回答表!AA45="●",[12]回答表!Y274,"")),"")</f>
        <v/>
      </c>
      <c r="AD159" s="120"/>
      <c r="AE159" s="120"/>
      <c r="AF159" s="120"/>
      <c r="AG159" s="120"/>
      <c r="AH159" s="120"/>
      <c r="AI159" s="120"/>
      <c r="AJ159" s="121"/>
      <c r="AK159" s="119" t="str">
        <f>IF([12]回答表!F17="下水道事業",IF([12]回答表!X45="●",[12]回答表!Y209,IF([12]回答表!AA45="●",[12]回答表!Y275,"")),"")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IF([12]回答表!F17="下水道事業",IF([12]回答表!AD45="●","●",""),"")</f>
        <v/>
      </c>
      <c r="O164" s="99"/>
      <c r="P164" s="99"/>
      <c r="Q164" s="100"/>
      <c r="R164" s="38"/>
      <c r="S164" s="38"/>
      <c r="T164" s="38"/>
      <c r="U164" s="107" t="str">
        <f>IF([12]回答表!F17="下水道事業",IF([12]回答表!AD45="●",[12]回答表!B289,""),"")</f>
        <v/>
      </c>
      <c r="V164" s="108"/>
      <c r="W164" s="108"/>
      <c r="X164" s="108"/>
      <c r="Y164" s="108"/>
      <c r="Z164" s="108"/>
      <c r="AA164" s="108"/>
      <c r="AB164" s="108"/>
      <c r="AC164" s="108"/>
      <c r="AD164" s="108"/>
      <c r="AE164" s="108"/>
      <c r="AF164" s="108"/>
      <c r="AG164" s="108"/>
      <c r="AH164" s="108"/>
      <c r="AI164" s="108"/>
      <c r="AJ164" s="109"/>
      <c r="AK164" s="55"/>
      <c r="AL164" s="55"/>
      <c r="AM164" s="107" t="str">
        <f>IF([12]回答表!F17="下水道事業",IF([12]回答表!AD45="●",[12]回答表!B295,""),"")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IF([12]回答表!BD17="●",IF([12]回答表!X45="●","●",""),"")</f>
        <v/>
      </c>
      <c r="O176" s="99"/>
      <c r="P176" s="99"/>
      <c r="Q176" s="100"/>
      <c r="R176" s="38"/>
      <c r="S176" s="38"/>
      <c r="T176" s="38"/>
      <c r="U176" s="107" t="str">
        <f>IF([12]回答表!BD17="●",IF([12]回答表!X45="●",[12]回答表!B158,IF([12]回答表!AA45="●",[12]回答表!B223,"")),"")</f>
        <v/>
      </c>
      <c r="V176" s="108"/>
      <c r="W176" s="108"/>
      <c r="X176" s="108"/>
      <c r="Y176" s="108"/>
      <c r="Z176" s="108"/>
      <c r="AA176" s="108"/>
      <c r="AB176" s="108"/>
      <c r="AC176" s="108"/>
      <c r="AD176" s="108"/>
      <c r="AE176" s="108"/>
      <c r="AF176" s="108"/>
      <c r="AG176" s="108"/>
      <c r="AH176" s="108"/>
      <c r="AI176" s="108"/>
      <c r="AJ176" s="109"/>
      <c r="AK176" s="49"/>
      <c r="AL176" s="49"/>
      <c r="AM176" s="116" t="str">
        <f>IF([12]回答表!BD17="●",IF([12]回答表!X45="●",[12]回答表!B212,IF([12]回答表!AA45="●",[12]回答表!B278,"")),"")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IF([12]回答表!BD17="●",IF([12]回答表!X45="●",[12]回答表!E212,IF([12]回答表!AA45="●",[12]回答表!E278,"")),"")</f>
        <v/>
      </c>
      <c r="AN179" s="84"/>
      <c r="AO179" s="84"/>
      <c r="AP179" s="84"/>
      <c r="AQ179" s="83" t="str">
        <f>IF([12]回答表!BD17="●",IF([12]回答表!X45="●",[12]回答表!E213,IF([12]回答表!AA45="●",[12]回答表!E279,"")),"")</f>
        <v/>
      </c>
      <c r="AR179" s="84"/>
      <c r="AS179" s="84"/>
      <c r="AT179" s="84"/>
      <c r="AU179" s="83" t="str">
        <f>IF([12]回答表!BD17="●",IF([12]回答表!X45="●",[12]回答表!E214,IF([12]回答表!AA45="●",[12]回答表!E280,"")),"")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IF([12]回答表!BD17="●",IF([12]回答表!AA45="●","●",""),"")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IF([12]回答表!BD17="●",IF([12]回答表!AD45="●","●",""),"")</f>
        <v/>
      </c>
      <c r="O188" s="99"/>
      <c r="P188" s="99"/>
      <c r="Q188" s="100"/>
      <c r="R188" s="38"/>
      <c r="S188" s="38"/>
      <c r="T188" s="38"/>
      <c r="U188" s="107" t="str">
        <f>IF([12]回答表!BD17="●",IF([12]回答表!AD45="●",[12]回答表!B289,""),"")</f>
        <v/>
      </c>
      <c r="V188" s="108"/>
      <c r="W188" s="108"/>
      <c r="X188" s="108"/>
      <c r="Y188" s="108"/>
      <c r="Z188" s="108"/>
      <c r="AA188" s="108"/>
      <c r="AB188" s="108"/>
      <c r="AC188" s="108"/>
      <c r="AD188" s="108"/>
      <c r="AE188" s="108"/>
      <c r="AF188" s="108"/>
      <c r="AG188" s="108"/>
      <c r="AH188" s="108"/>
      <c r="AI188" s="108"/>
      <c r="AJ188" s="109"/>
      <c r="AK188" s="55"/>
      <c r="AL188" s="55"/>
      <c r="AM188" s="107" t="str">
        <f>IF([12]回答表!BD17="●",IF([12]回答表!AD45="●",[12]回答表!B295,""),"")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IF([12]回答表!X46="●","●","")</f>
        <v/>
      </c>
      <c r="O200" s="99"/>
      <c r="P200" s="99"/>
      <c r="Q200" s="100"/>
      <c r="R200" s="38"/>
      <c r="S200" s="38"/>
      <c r="T200" s="38"/>
      <c r="U200" s="107" t="str">
        <f>IF([12]回答表!X46="●",[12]回答表!B307,IF([12]回答表!AA46="●",[12]回答表!B324,""))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IF([12]回答表!X46="●",[12]回答表!U313,IF([12]回答表!AA46="●",[12]回答表!U330,""))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IF([12]回答表!X46="●",[12]回答表!G313,IF([12]回答表!AA46="●",[12]回答表!G330,""))</f>
        <v/>
      </c>
      <c r="AN203" s="120"/>
      <c r="AO203" s="120"/>
      <c r="AP203" s="120"/>
      <c r="AQ203" s="120"/>
      <c r="AR203" s="120"/>
      <c r="AS203" s="120"/>
      <c r="AT203" s="121"/>
      <c r="AU203" s="119" t="str">
        <f>IF([12]回答表!X46="●",[12]回答表!G314,IF([12]回答表!AA46="●",[12]回答表!G331,""))</f>
        <v/>
      </c>
      <c r="AV203" s="120"/>
      <c r="AW203" s="120"/>
      <c r="AX203" s="120"/>
      <c r="AY203" s="120"/>
      <c r="AZ203" s="120"/>
      <c r="BA203" s="120"/>
      <c r="BB203" s="121"/>
      <c r="BC203" s="39"/>
      <c r="BD203" s="34"/>
      <c r="BE203" s="34"/>
      <c r="BF203" s="83" t="str">
        <f>IF([12]回答表!X46="●",[12]回答表!X313,IF([12]回答表!AA46="●",[12]回答表!X330,""))</f>
        <v/>
      </c>
      <c r="BG203" s="84"/>
      <c r="BH203" s="84"/>
      <c r="BI203" s="84"/>
      <c r="BJ203" s="83" t="str">
        <f>IF([12]回答表!X46="●",[12]回答表!X314,IF([12]回答表!AA46="●",[12]回答表!X331,""))</f>
        <v/>
      </c>
      <c r="BK203" s="84"/>
      <c r="BL203" s="84"/>
      <c r="BM203" s="87"/>
      <c r="BN203" s="83" t="str">
        <f>IF([12]回答表!X46="●",[12]回答表!X315,IF([12]回答表!AA46="●",[12]回答表!X332,""))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IF([12]回答表!AD46="●","●","")</f>
        <v/>
      </c>
      <c r="O212" s="99"/>
      <c r="P212" s="99"/>
      <c r="Q212" s="100"/>
      <c r="R212" s="38"/>
      <c r="S212" s="38"/>
      <c r="T212" s="38"/>
      <c r="U212" s="107" t="str">
        <f>IF([12]回答表!AD46="●",[12]回答表!B337,"")</f>
        <v/>
      </c>
      <c r="V212" s="108"/>
      <c r="W212" s="108"/>
      <c r="X212" s="108"/>
      <c r="Y212" s="108"/>
      <c r="Z212" s="108"/>
      <c r="AA212" s="108"/>
      <c r="AB212" s="108"/>
      <c r="AC212" s="108"/>
      <c r="AD212" s="108"/>
      <c r="AE212" s="108"/>
      <c r="AF212" s="108"/>
      <c r="AG212" s="108"/>
      <c r="AH212" s="108"/>
      <c r="AI212" s="108"/>
      <c r="AJ212" s="109"/>
      <c r="AK212" s="62"/>
      <c r="AL212" s="62"/>
      <c r="AM212" s="107" t="str">
        <f>IF([12]回答表!AD46="●",[12]回答表!B343,"")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IF([12]回答表!X47="●","●","")</f>
        <v/>
      </c>
      <c r="O224" s="99"/>
      <c r="P224" s="99"/>
      <c r="Q224" s="100"/>
      <c r="R224" s="38"/>
      <c r="S224" s="38"/>
      <c r="T224" s="38"/>
      <c r="U224" s="107" t="str">
        <f>IF([12]回答表!X47="●",[12]回答表!B356,IF([12]回答表!AA47="●",[12]回答表!B379,""))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IF([12]回答表!X47="●",[12]回答表!B362,"")</f>
        <v/>
      </c>
      <c r="AO224" s="182"/>
      <c r="AP224" s="182"/>
      <c r="AQ224" s="182"/>
      <c r="AR224" s="182"/>
      <c r="AS224" s="182"/>
      <c r="AT224" s="182"/>
      <c r="AU224" s="182"/>
      <c r="AV224" s="182"/>
      <c r="AW224" s="182"/>
      <c r="AX224" s="182"/>
      <c r="AY224" s="182"/>
      <c r="AZ224" s="182"/>
      <c r="BA224" s="182"/>
      <c r="BB224" s="183"/>
      <c r="BC224" s="39"/>
      <c r="BD224" s="34"/>
      <c r="BE224" s="34"/>
      <c r="BF224" s="116" t="str">
        <f>IF([12]回答表!X47="●",[12]回答表!B368,IF([12]回答表!AA47="●",[12]回答表!B385,""))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IF([12]回答表!X47="●",[12]回答表!E368,IF([12]回答表!AA47="●",[12]回答表!E385,""))</f>
        <v/>
      </c>
      <c r="BG227" s="84"/>
      <c r="BH227" s="84"/>
      <c r="BI227" s="84"/>
      <c r="BJ227" s="83" t="str">
        <f>IF([12]回答表!X47="●",[12]回答表!E369,IF([12]回答表!AA47="●",[12]回答表!E386,""))</f>
        <v/>
      </c>
      <c r="BK227" s="84"/>
      <c r="BL227" s="84"/>
      <c r="BM227" s="87"/>
      <c r="BN227" s="83" t="str">
        <f>IF([12]回答表!X47="●",[12]回答表!E370,IF([12]回答表!AA47="●",[12]回答表!E387,""))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IF([12]回答表!AD47="●","●","")</f>
        <v/>
      </c>
      <c r="O236" s="99"/>
      <c r="P236" s="99"/>
      <c r="Q236" s="100"/>
      <c r="R236" s="38"/>
      <c r="S236" s="38"/>
      <c r="T236" s="38"/>
      <c r="U236" s="107" t="str">
        <f>IF([12]回答表!AD47="●",[12]回答表!B392,"")</f>
        <v/>
      </c>
      <c r="V236" s="108"/>
      <c r="W236" s="108"/>
      <c r="X236" s="108"/>
      <c r="Y236" s="108"/>
      <c r="Z236" s="108"/>
      <c r="AA236" s="108"/>
      <c r="AB236" s="108"/>
      <c r="AC236" s="108"/>
      <c r="AD236" s="108"/>
      <c r="AE236" s="108"/>
      <c r="AF236" s="108"/>
      <c r="AG236" s="108"/>
      <c r="AH236" s="108"/>
      <c r="AI236" s="108"/>
      <c r="AJ236" s="109"/>
      <c r="AK236" s="62"/>
      <c r="AL236" s="62"/>
      <c r="AM236" s="107" t="str">
        <f>IF([12]回答表!AD47="●",[12]回答表!B398,"")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IF([12]回答表!X48="●","●","")</f>
        <v/>
      </c>
      <c r="O248" s="99"/>
      <c r="P248" s="99"/>
      <c r="Q248" s="100"/>
      <c r="R248" s="38"/>
      <c r="S248" s="38"/>
      <c r="T248" s="38"/>
      <c r="U248" s="107" t="str">
        <f>IF([12]回答表!X48="●",[12]回答表!B411,IF([12]回答表!AA48="●",[12]回答表!B425,""))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IF([12]回答表!X48="●",[12]回答表!BC418,IF([12]回答表!AA48="●",[12]回答表!BC432,""))</f>
        <v/>
      </c>
      <c r="AR248" s="151"/>
      <c r="AS248" s="151"/>
      <c r="AT248" s="151"/>
      <c r="AU248" s="173" t="s">
        <v>73</v>
      </c>
      <c r="AV248" s="174"/>
      <c r="AW248" s="174"/>
      <c r="AX248" s="175"/>
      <c r="AY248" s="151" t="str">
        <f>IF([12]回答表!X48="●",[12]回答表!BC423,IF([12]回答表!AA48="●",[12]回答表!BC437,""))</f>
        <v/>
      </c>
      <c r="AZ248" s="151"/>
      <c r="BA248" s="151"/>
      <c r="BB248" s="151"/>
      <c r="BC248" s="39"/>
      <c r="BD248" s="34"/>
      <c r="BE248" s="34"/>
      <c r="BF248" s="116" t="str">
        <f>IF([12]回答表!X48="●",[12]回答表!S417,IF([12]回答表!AA48="●",[12]回答表!S431,""))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IF([12]回答表!X48="●",[12]回答表!BC419,IF([12]回答表!AA48="●",[12]回答表!BC433,""))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IF([12]回答表!X48="●",[12]回答表!V417,IF([12]回答表!AA48="●",[12]回答表!V431,""))</f>
        <v/>
      </c>
      <c r="BG251" s="84"/>
      <c r="BH251" s="84"/>
      <c r="BI251" s="84"/>
      <c r="BJ251" s="83" t="str">
        <f>IF([12]回答表!X48="●",[12]回答表!V418,IF([12]回答表!AA48="●",[12]回答表!V432,""))</f>
        <v/>
      </c>
      <c r="BK251" s="84"/>
      <c r="BL251" s="84"/>
      <c r="BM251" s="87"/>
      <c r="BN251" s="83" t="str">
        <f>IF([12]回答表!X48="●",[12]回答表!V419,IF([12]回答表!AA48="●",[12]回答表!V433,""))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IF([12]回答表!X48="●",[12]回答表!BC420,IF([12]回答表!AA48="●",[12]回答表!BC434,""))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IF([12]回答表!X48="●",[12]回答表!BC424,IF([12]回答表!AA48="●",[12]回答表!BC438,""))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IF([12]回答表!X48="●",[12]回答表!BC421,IF([12]回答表!AA48="●",[12]回答表!BC435,""))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IF([12]回答表!X48="●",[12]回答表!BC422,IF([12]回答表!AA48="●",[12]回答表!BC436,""))</f>
        <v/>
      </c>
      <c r="AR256" s="151"/>
      <c r="AS256" s="151"/>
      <c r="AT256" s="151"/>
      <c r="AU256" s="152" t="s">
        <v>79</v>
      </c>
      <c r="AV256" s="153"/>
      <c r="AW256" s="153"/>
      <c r="AX256" s="154"/>
      <c r="AY256" s="158" t="str">
        <f>IF([12]回答表!X48="●",[12]回答表!BC425,IF([12]回答表!AA48="●",[12]回答表!BC439,""))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IF([12]回答表!AD48="●","●","")</f>
        <v/>
      </c>
      <c r="O260" s="99"/>
      <c r="P260" s="99"/>
      <c r="Q260" s="100"/>
      <c r="R260" s="38"/>
      <c r="S260" s="38"/>
      <c r="T260" s="38"/>
      <c r="U260" s="107" t="str">
        <f>IF([12]回答表!AD48="●",[12]回答表!B439,"")</f>
        <v/>
      </c>
      <c r="V260" s="108"/>
      <c r="W260" s="108"/>
      <c r="X260" s="108"/>
      <c r="Y260" s="108"/>
      <c r="Z260" s="108"/>
      <c r="AA260" s="108"/>
      <c r="AB260" s="108"/>
      <c r="AC260" s="108"/>
      <c r="AD260" s="108"/>
      <c r="AE260" s="108"/>
      <c r="AF260" s="108"/>
      <c r="AG260" s="108"/>
      <c r="AH260" s="108"/>
      <c r="AI260" s="108"/>
      <c r="AJ260" s="109"/>
      <c r="AK260" s="55"/>
      <c r="AL260" s="55"/>
      <c r="AM260" s="107" t="str">
        <f>IF([12]回答表!AD48="●",[12]回答表!B445,"")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IF([12]回答表!X49="●","●","")</f>
        <v/>
      </c>
      <c r="O271" s="99"/>
      <c r="P271" s="99"/>
      <c r="Q271" s="100"/>
      <c r="R271" s="38"/>
      <c r="S271" s="38"/>
      <c r="T271" s="38"/>
      <c r="U271" s="107" t="str">
        <f>IF([12]回答表!X49="●",[12]回答表!B458,IF([12]回答表!AA49="●",[12]回答表!B475,""))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IF([12]回答表!X49="●",[12]回答表!B468,IF([12]回答表!AA49="●",[12]回答表!B485,""))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IF([12]回答表!X49="●",[12]回答表!G464,IF([12]回答表!AA49="●",[12]回答表!G481,""))</f>
        <v/>
      </c>
      <c r="AN273" s="120"/>
      <c r="AO273" s="120"/>
      <c r="AP273" s="120"/>
      <c r="AQ273" s="120"/>
      <c r="AR273" s="120"/>
      <c r="AS273" s="120"/>
      <c r="AT273" s="121"/>
      <c r="AU273" s="119" t="str">
        <f>IF([12]回答表!X49="●",[12]回答表!G465,IF([12]回答表!AA49="●",[12]回答表!G482,""))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IF([12]回答表!X49="●",[12]回答表!E468,IF([12]回答表!AA49="●",[12]回答表!E485,""))</f>
        <v/>
      </c>
      <c r="BG274" s="84"/>
      <c r="BH274" s="84"/>
      <c r="BI274" s="84"/>
      <c r="BJ274" s="83" t="str">
        <f>IF([12]回答表!X49="●",[12]回答表!E469,IF([12]回答表!AA49="●",[12]回答表!E486,""))</f>
        <v/>
      </c>
      <c r="BK274" s="84"/>
      <c r="BL274" s="84"/>
      <c r="BM274" s="87"/>
      <c r="BN274" s="83" t="str">
        <f>IF([12]回答表!X49="●",[12]回答表!E470,IF([12]回答表!AA49="●",[12]回答表!E487,""))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IF([12]回答表!AD49="●","●","")</f>
        <v/>
      </c>
      <c r="O283" s="99"/>
      <c r="P283" s="99"/>
      <c r="Q283" s="100"/>
      <c r="R283" s="38"/>
      <c r="S283" s="38"/>
      <c r="T283" s="38"/>
      <c r="U283" s="107" t="str">
        <f>IF([12]回答表!AD49="●",[12]回答表!B492,"")</f>
        <v/>
      </c>
      <c r="V283" s="108"/>
      <c r="W283" s="108"/>
      <c r="X283" s="108"/>
      <c r="Y283" s="108"/>
      <c r="Z283" s="108"/>
      <c r="AA283" s="108"/>
      <c r="AB283" s="108"/>
      <c r="AC283" s="108"/>
      <c r="AD283" s="108"/>
      <c r="AE283" s="108"/>
      <c r="AF283" s="108"/>
      <c r="AG283" s="108"/>
      <c r="AH283" s="108"/>
      <c r="AI283" s="108"/>
      <c r="AJ283" s="109"/>
      <c r="AK283" s="49"/>
      <c r="AL283" s="49"/>
      <c r="AM283" s="107" t="str">
        <f>IF([12]回答表!AD49="●",[12]回答表!B498,"")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IF([12]回答表!R50="●",[12]回答表!B511,"")</f>
        <v>　扇田病院の患者数の減少等による経営状況の悪化から資金不足が発生しており、現行の体制では収益の改善は難しく、施設の老朽化も進んでいることから、現在経営層で構成される「経営戦略会議」において将来の方向性を協議中である。</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821F-1FD6-4C30-AEB0-C9E403DEE5F6}">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IF(COUNTIF([1]回答表!K15,"*")&gt;0,[1]回答表!K15,"")</f>
        <v>大館市</v>
      </c>
      <c r="D11" s="299"/>
      <c r="E11" s="299"/>
      <c r="F11" s="299"/>
      <c r="G11" s="299"/>
      <c r="H11" s="299"/>
      <c r="I11" s="299"/>
      <c r="J11" s="299"/>
      <c r="K11" s="299"/>
      <c r="L11" s="299"/>
      <c r="M11" s="299"/>
      <c r="N11" s="299"/>
      <c r="O11" s="299"/>
      <c r="P11" s="299"/>
      <c r="Q11" s="299"/>
      <c r="R11" s="299"/>
      <c r="S11" s="299"/>
      <c r="T11" s="299"/>
      <c r="U11" s="306" t="str">
        <f>IF(COUNTIF([1]回答表!F17,"*")&gt;0,[1]回答表!F17,"")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IF(COUNTIF([1]回答表!W17,"*")&gt;0,[1]回答表!W17,"")</f>
        <v>公共下水道</v>
      </c>
      <c r="AP11" s="301"/>
      <c r="AQ11" s="301"/>
      <c r="AR11" s="301"/>
      <c r="AS11" s="301"/>
      <c r="AT11" s="301"/>
      <c r="AU11" s="301"/>
      <c r="AV11" s="301"/>
      <c r="AW11" s="301"/>
      <c r="AX11" s="301"/>
      <c r="AY11" s="301"/>
      <c r="AZ11" s="301"/>
      <c r="BA11" s="301"/>
      <c r="BB11" s="301"/>
      <c r="BC11" s="301"/>
      <c r="BD11" s="301"/>
      <c r="BE11" s="301"/>
      <c r="BF11" s="302"/>
      <c r="BG11" s="305" t="str">
        <f>IF(COUNTIF([1]回答表!F19,"*")&gt;0,[1]回答表!F19,"")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IF([1]回答表!R43="●","●","")</f>
        <v/>
      </c>
      <c r="E24" s="123"/>
      <c r="F24" s="123"/>
      <c r="G24" s="123"/>
      <c r="H24" s="123"/>
      <c r="I24" s="123"/>
      <c r="J24" s="124"/>
      <c r="K24" s="122" t="str">
        <f>IF([1]回答表!R44="●","●","")</f>
        <v/>
      </c>
      <c r="L24" s="123"/>
      <c r="M24" s="123"/>
      <c r="N24" s="123"/>
      <c r="O24" s="123"/>
      <c r="P24" s="123"/>
      <c r="Q24" s="124"/>
      <c r="R24" s="122" t="str">
        <f>IF([1]回答表!R45="●","●","")</f>
        <v>●</v>
      </c>
      <c r="S24" s="123"/>
      <c r="T24" s="123"/>
      <c r="U24" s="123"/>
      <c r="V24" s="123"/>
      <c r="W24" s="123"/>
      <c r="X24" s="124"/>
      <c r="Y24" s="122" t="str">
        <f>IF([1]回答表!R46="●","●","")</f>
        <v/>
      </c>
      <c r="Z24" s="123"/>
      <c r="AA24" s="123"/>
      <c r="AB24" s="123"/>
      <c r="AC24" s="123"/>
      <c r="AD24" s="123"/>
      <c r="AE24" s="124"/>
      <c r="AF24" s="122" t="str">
        <f>IF([1]回答表!R47="●","●","")</f>
        <v/>
      </c>
      <c r="AG24" s="123"/>
      <c r="AH24" s="123"/>
      <c r="AI24" s="123"/>
      <c r="AJ24" s="123"/>
      <c r="AK24" s="123"/>
      <c r="AL24" s="124"/>
      <c r="AM24" s="122" t="str">
        <f>IF([1]回答表!R48="●","●","")</f>
        <v/>
      </c>
      <c r="AN24" s="123"/>
      <c r="AO24" s="123"/>
      <c r="AP24" s="123"/>
      <c r="AQ24" s="123"/>
      <c r="AR24" s="123"/>
      <c r="AS24" s="124"/>
      <c r="AT24" s="122" t="str">
        <f>IF([1]回答表!R49="●","●","")</f>
        <v/>
      </c>
      <c r="AU24" s="123"/>
      <c r="AV24" s="123"/>
      <c r="AW24" s="123"/>
      <c r="AX24" s="123"/>
      <c r="AY24" s="123"/>
      <c r="AZ24" s="124"/>
      <c r="BA24" s="18"/>
      <c r="BB24" s="119" t="str">
        <f>IF([1]回答表!R50="●","●","")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IF([1]回答表!X43="●","●","")</f>
        <v/>
      </c>
      <c r="O36" s="99"/>
      <c r="P36" s="99"/>
      <c r="Q36" s="100"/>
      <c r="R36" s="38"/>
      <c r="S36" s="38"/>
      <c r="T36" s="38"/>
      <c r="U36" s="107" t="str">
        <f>IF([1]回答表!X43="●",[1]回答表!B59,IF([1]回答表!AA43="●",[1]回答表!B79,""))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IF([1]回答表!X43="●",[1]回答表!S65,IF([1]回答表!AA43="●",[1]回答表!S85,""))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IF([1]回答表!X43="●",[1]回答表!G65,IF([1]回答表!AA43="●",[1]回答表!G85,""))</f>
        <v/>
      </c>
      <c r="AN38" s="120"/>
      <c r="AO38" s="120"/>
      <c r="AP38" s="120"/>
      <c r="AQ38" s="120"/>
      <c r="AR38" s="120"/>
      <c r="AS38" s="120"/>
      <c r="AT38" s="121"/>
      <c r="AU38" s="119" t="str">
        <f>IF([1]回答表!X43="●",[1]回答表!G66,IF([1]回答表!AA43="●",[1]回答表!G86,""))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IF([1]回答表!X43="●",[1]回答表!V65,IF([1]回答表!AA43="●",[1]回答表!V85,""))</f>
        <v/>
      </c>
      <c r="BG39" s="249"/>
      <c r="BH39" s="249"/>
      <c r="BI39" s="250"/>
      <c r="BJ39" s="83" t="str">
        <f>IF([1]回答表!X43="●",[1]回答表!V66,IF([1]回答表!AA43="●",[1]回答表!V86,""))</f>
        <v/>
      </c>
      <c r="BK39" s="249"/>
      <c r="BL39" s="249"/>
      <c r="BM39" s="250"/>
      <c r="BN39" s="83" t="str">
        <f>IF([1]回答表!X43="●",[1]回答表!V67,IF([1]回答表!AA43="●",[1]回答表!V87,""))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IF([1]回答表!X43="●",[1]回答表!O71,IF([1]回答表!AA43="●",[1]回答表!O91,""))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IF([1]回答表!X43="●",[1]回答表!O72,IF([1]回答表!AA43="●",[1]回答表!O92,""))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IF([1]回答表!X43="●",[1]回答表!O73,IF([1]回答表!AA43="●",[1]回答表!O93,""))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IF([1]回答表!X43="●",[1]回答表!O74,IF([1]回答表!AA43="●",[1]回答表!O94,""))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IF([1]回答表!X43="●",[1]回答表!AG71,IF([1]回答表!AA43="●",[1]回答表!AG91,""))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IF([1]回答表!X43="●",[1]回答表!AG72,IF([1]回答表!AA43="●",[1]回答表!AG92,""))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IF([1]回答表!AD43="●","●","")</f>
        <v/>
      </c>
      <c r="O51" s="99"/>
      <c r="P51" s="99"/>
      <c r="Q51" s="100"/>
      <c r="R51" s="38"/>
      <c r="S51" s="38"/>
      <c r="T51" s="38"/>
      <c r="U51" s="107" t="str">
        <f>IF([1]回答表!AD43="●",[1]回答表!B99,"")</f>
        <v/>
      </c>
      <c r="V51" s="108"/>
      <c r="W51" s="108"/>
      <c r="X51" s="108"/>
      <c r="Y51" s="108"/>
      <c r="Z51" s="108"/>
      <c r="AA51" s="108"/>
      <c r="AB51" s="108"/>
      <c r="AC51" s="108"/>
      <c r="AD51" s="108"/>
      <c r="AE51" s="108"/>
      <c r="AF51" s="108"/>
      <c r="AG51" s="108"/>
      <c r="AH51" s="108"/>
      <c r="AI51" s="108"/>
      <c r="AJ51" s="109"/>
      <c r="AK51" s="55"/>
      <c r="AL51" s="55"/>
      <c r="AM51" s="107" t="str">
        <f>IF([1]回答表!AD43="●",[1]回答表!B104,"")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IF([1]回答表!X44="●","●","")</f>
        <v/>
      </c>
      <c r="O62" s="99"/>
      <c r="P62" s="99"/>
      <c r="Q62" s="100"/>
      <c r="R62" s="38"/>
      <c r="S62" s="38"/>
      <c r="T62" s="38"/>
      <c r="U62" s="107" t="str">
        <f>IF([1]回答表!X44="●",[1]回答表!B115,IF([1]回答表!AA44="●",[1]回答表!B127,""))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IF([1]回答表!X44="●",[1]回答表!S121,IF([1]回答表!AA44="●",[1]回答表!S133,""))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IF([1]回答表!X44="●",[1]回答表!J121,IF([1]回答表!AA44="●",[1]回答表!J133,""))</f>
        <v/>
      </c>
      <c r="AN65" s="120"/>
      <c r="AO65" s="120"/>
      <c r="AP65" s="120"/>
      <c r="AQ65" s="120"/>
      <c r="AR65" s="120"/>
      <c r="AS65" s="120"/>
      <c r="AT65" s="121"/>
      <c r="AU65" s="119" t="str">
        <f>IF([1]回答表!X44="●",[1]回答表!J122,IF([1]回答表!AA44="●",[1]回答表!J134,""))</f>
        <v/>
      </c>
      <c r="AV65" s="120"/>
      <c r="AW65" s="120"/>
      <c r="AX65" s="120"/>
      <c r="AY65" s="120"/>
      <c r="AZ65" s="120"/>
      <c r="BA65" s="120"/>
      <c r="BB65" s="121"/>
      <c r="BC65" s="39"/>
      <c r="BD65" s="34"/>
      <c r="BE65" s="34"/>
      <c r="BF65" s="83" t="str">
        <f>IF([1]回答表!X44="●",[1]回答表!V121,IF([1]回答表!AA44="●",[1]回答表!V133,""))</f>
        <v/>
      </c>
      <c r="BG65" s="84"/>
      <c r="BH65" s="84"/>
      <c r="BI65" s="84"/>
      <c r="BJ65" s="83" t="str">
        <f>IF([1]回答表!X44="●",[1]回答表!V122,IF([1]回答表!AA44="●",[1]回答表!V134,""))</f>
        <v/>
      </c>
      <c r="BK65" s="84"/>
      <c r="BL65" s="84"/>
      <c r="BM65" s="84"/>
      <c r="BN65" s="83" t="str">
        <f>IF([1]回答表!X44="●",[1]回答表!V123,IF([1]回答表!AA44="●",[1]回答表!V135,""))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IF([1]回答表!AD44="●","●","")</f>
        <v/>
      </c>
      <c r="O74" s="99"/>
      <c r="P74" s="99"/>
      <c r="Q74" s="100"/>
      <c r="R74" s="38"/>
      <c r="S74" s="38"/>
      <c r="T74" s="38"/>
      <c r="U74" s="107" t="str">
        <f>IF([1]回答表!AD44="●",[1]回答表!B140,"")</f>
        <v/>
      </c>
      <c r="V74" s="108"/>
      <c r="W74" s="108"/>
      <c r="X74" s="108"/>
      <c r="Y74" s="108"/>
      <c r="Z74" s="108"/>
      <c r="AA74" s="108"/>
      <c r="AB74" s="108"/>
      <c r="AC74" s="108"/>
      <c r="AD74" s="108"/>
      <c r="AE74" s="108"/>
      <c r="AF74" s="108"/>
      <c r="AG74" s="108"/>
      <c r="AH74" s="108"/>
      <c r="AI74" s="108"/>
      <c r="AJ74" s="109"/>
      <c r="AK74" s="55"/>
      <c r="AL74" s="55"/>
      <c r="AM74" s="107" t="str">
        <f>IF([1]回答表!AD44="●",[1]回答表!B146,"")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IF([1]回答表!F17="水道事業",IF([1]回答表!X45="●","●",""),"")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IF([1]回答表!F17="水道事業",IF([1]回答表!X45="●",[1]回答表!B158,IF([1]回答表!AA45="●",[1]回答表!B223,"")),"")</f>
        <v/>
      </c>
      <c r="AN86" s="212"/>
      <c r="AO86" s="212"/>
      <c r="AP86" s="212"/>
      <c r="AQ86" s="212"/>
      <c r="AR86" s="212"/>
      <c r="AS86" s="212"/>
      <c r="AT86" s="212"/>
      <c r="AU86" s="212"/>
      <c r="AV86" s="212"/>
      <c r="AW86" s="212"/>
      <c r="AX86" s="212"/>
      <c r="AY86" s="212"/>
      <c r="AZ86" s="212"/>
      <c r="BA86" s="212"/>
      <c r="BB86" s="212"/>
      <c r="BC86" s="213"/>
      <c r="BD86" s="34"/>
      <c r="BE86" s="34"/>
      <c r="BF86" s="116" t="str">
        <f>IF([1]回答表!F17="水道事業",IF([1]回答表!X45="●",[1]回答表!B212,IF([1]回答表!AA45="●",[1]回答表!B278,"")),"")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IF([1]回答表!F17="水道事業",IF([1]回答表!X45="●",[1]回答表!J166,IF([1]回答表!AA45="●",[1]回答表!J231,"")),"")</f>
        <v/>
      </c>
      <c r="V88" s="120"/>
      <c r="W88" s="120"/>
      <c r="X88" s="120"/>
      <c r="Y88" s="120"/>
      <c r="Z88" s="120"/>
      <c r="AA88" s="120"/>
      <c r="AB88" s="121"/>
      <c r="AC88" s="119" t="str">
        <f>IF([1]回答表!F17="水道事業",IF([1]回答表!X45="●",[1]回答表!J173,IF([1]回答表!AA45="●",[1]回答表!J238,"")),"")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IF([1]回答表!F17="水道事業",IF([1]回答表!X45="●",[1]回答表!E212,IF([1]回答表!AA45="●",[1]回答表!E278,"")),"")</f>
        <v/>
      </c>
      <c r="BG89" s="84"/>
      <c r="BH89" s="84"/>
      <c r="BI89" s="84"/>
      <c r="BJ89" s="83" t="str">
        <f>IF([1]回答表!F17="水道事業",IF([1]回答表!X45="●",[1]回答表!E213,IF([1]回答表!AA45="●",[1]回答表!E279,"")),"")</f>
        <v/>
      </c>
      <c r="BK89" s="84"/>
      <c r="BL89" s="84"/>
      <c r="BM89" s="84"/>
      <c r="BN89" s="83" t="str">
        <f>IF([1]回答表!F17="水道事業",IF([1]回答表!X45="●",[1]回答表!E214,IF([1]回答表!AA45="●",[1]回答表!E280,"")),"")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IF([1]回答表!F17="水道事業",IF([1]回答表!AA45="●","●",""),"")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IF([1]回答表!F17="水道事業",IF([1]回答表!X45="●",[1]回答表!J176,IF([1]回答表!AA45="●",[1]回答表!J241,"")),"")</f>
        <v/>
      </c>
      <c r="V93" s="120"/>
      <c r="W93" s="120"/>
      <c r="X93" s="120"/>
      <c r="Y93" s="120"/>
      <c r="Z93" s="120"/>
      <c r="AA93" s="120"/>
      <c r="AB93" s="121"/>
      <c r="AC93" s="119" t="str">
        <f>IF([1]回答表!F17="水道事業",IF([1]回答表!X45="●",[1]回答表!J180,IF([1]回答表!AA45="●",[1]回答表!J245,"")),"")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IF([1]回答表!F17="水道事業",IF([1]回答表!AD45="●","●",""),"")</f>
        <v/>
      </c>
      <c r="O98" s="99"/>
      <c r="P98" s="99"/>
      <c r="Q98" s="100"/>
      <c r="R98" s="38"/>
      <c r="S98" s="38"/>
      <c r="T98" s="38"/>
      <c r="U98" s="107" t="str">
        <f>IF([1]回答表!F17="水道事業",IF([1]回答表!AD45="●",[1]回答表!B289,""),"")</f>
        <v/>
      </c>
      <c r="V98" s="108"/>
      <c r="W98" s="108"/>
      <c r="X98" s="108"/>
      <c r="Y98" s="108"/>
      <c r="Z98" s="108"/>
      <c r="AA98" s="108"/>
      <c r="AB98" s="108"/>
      <c r="AC98" s="108"/>
      <c r="AD98" s="108"/>
      <c r="AE98" s="108"/>
      <c r="AF98" s="108"/>
      <c r="AG98" s="108"/>
      <c r="AH98" s="108"/>
      <c r="AI98" s="108"/>
      <c r="AJ98" s="109"/>
      <c r="AK98" s="55"/>
      <c r="AL98" s="55"/>
      <c r="AM98" s="107" t="str">
        <f>IF([1]回答表!F17="水道事業",IF([1]回答表!AD45="●",[1]回答表!B295,""),"")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IF([1]回答表!F17="簡易水道事業",IF([1]回答表!X45="●",[1]回答表!B158,IF([1]回答表!AA45="●",[1]回答表!B223,"")),"")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IF([1]回答表!F17="簡易水道事業",IF([1]回答表!X45="●",[1]回答表!B212,IF([1]回答表!AA45="●",[1]回答表!B278,"")),"")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IF([1]回答表!F17="簡易水道事業",IF([1]回答表!X45="●","●",""),"")</f>
        <v/>
      </c>
      <c r="O112" s="99"/>
      <c r="P112" s="99"/>
      <c r="Q112" s="100"/>
      <c r="R112" s="38"/>
      <c r="S112" s="38"/>
      <c r="T112" s="38"/>
      <c r="U112" s="119" t="str">
        <f>IF([1]回答表!F17="簡易水道事業",IF([1]回答表!X45="●",[1]回答表!Y185,IF([1]回答表!AA45="●",[1]回答表!Y251,"")),"")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IF([1]回答表!F17="簡易水道事業",IF([1]回答表!X45="●",[1]回答表!E212,IF([1]回答表!AA45="●",[1]回答表!E278,"")),"")</f>
        <v/>
      </c>
      <c r="BG113" s="84"/>
      <c r="BH113" s="84"/>
      <c r="BI113" s="84"/>
      <c r="BJ113" s="83" t="str">
        <f>IF([1]回答表!F17="簡易水道事業",IF([1]回答表!X45="●",[1]回答表!E213,IF([1]回答表!AA45="●",[1]回答表!E279,"")),"")</f>
        <v/>
      </c>
      <c r="BK113" s="84"/>
      <c r="BL113" s="84"/>
      <c r="BM113" s="84"/>
      <c r="BN113" s="83" t="str">
        <f>IF([1]回答表!F17="簡易水道事業",IF([1]回答表!X45="●",[1]回答表!E214,IF([1]回答表!AA45="●",[1]回答表!E280,"")),"")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IF([1]回答表!F17="簡易水道事業",IF([1]回答表!X45="●",[1]回答表!Y186,IF([1]回答表!AA45="●",[1]回答表!Y252,"")),"")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IF([1]回答表!F17="簡易水道事業",IF([1]回答表!AA45="●","●",""),"")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IF([1]回答表!F17="簡易水道事業",IF([1]回答表!X45="●",[1]回答表!Y187,IF([1]回答表!AA45="●",[1]回答表!Y253,"")),"")</f>
        <v/>
      </c>
      <c r="V122" s="120"/>
      <c r="W122" s="120"/>
      <c r="X122" s="120"/>
      <c r="Y122" s="120"/>
      <c r="Z122" s="120"/>
      <c r="AA122" s="120"/>
      <c r="AB122" s="120"/>
      <c r="AC122" s="120"/>
      <c r="AD122" s="120"/>
      <c r="AE122" s="120"/>
      <c r="AF122" s="120"/>
      <c r="AG122" s="120"/>
      <c r="AH122" s="120"/>
      <c r="AI122" s="120"/>
      <c r="AJ122" s="121"/>
      <c r="AK122" s="18"/>
      <c r="AL122" s="18"/>
      <c r="AM122" s="228" t="str">
        <f>IF([1]回答表!F17="簡易水道事業",IF([1]回答表!X45="●",[1]回答表!Y189,IF([1]回答表!AA45="●",[1]回答表!Y255,"")),"")</f>
        <v/>
      </c>
      <c r="AN122" s="228"/>
      <c r="AO122" s="228"/>
      <c r="AP122" s="228"/>
      <c r="AQ122" s="228"/>
      <c r="AR122" s="228"/>
      <c r="AS122" s="228" t="str">
        <f>IF([1]回答表!F17="簡易水道事業",IF([1]回答表!X45="●",[1]回答表!Y190,IF([1]回答表!AA45="●",[1]回答表!Y256,"")),"")</f>
        <v/>
      </c>
      <c r="AT122" s="228"/>
      <c r="AU122" s="228"/>
      <c r="AV122" s="228"/>
      <c r="AW122" s="228"/>
      <c r="AX122" s="228"/>
      <c r="AY122" s="228" t="str">
        <f>IF([1]回答表!F17="簡易水道事業",IF([1]回答表!X45="●",[1]回答表!Y191,IF([1]回答表!AA45="●",[1]回答表!Y257,"")),"")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IF([1]回答表!F17="簡易水道事業",IF([1]回答表!AD45="●","●",""),"")</f>
        <v/>
      </c>
      <c r="O127" s="99"/>
      <c r="P127" s="99"/>
      <c r="Q127" s="100"/>
      <c r="R127" s="38"/>
      <c r="S127" s="38"/>
      <c r="T127" s="38"/>
      <c r="U127" s="107" t="str">
        <f>IF([1]回答表!F17="簡易水道事業",IF([1]回答表!AD45="●",[1]回答表!B289,""),"")</f>
        <v/>
      </c>
      <c r="V127" s="108"/>
      <c r="W127" s="108"/>
      <c r="X127" s="108"/>
      <c r="Y127" s="108"/>
      <c r="Z127" s="108"/>
      <c r="AA127" s="108"/>
      <c r="AB127" s="108"/>
      <c r="AC127" s="108"/>
      <c r="AD127" s="108"/>
      <c r="AE127" s="108"/>
      <c r="AF127" s="108"/>
      <c r="AG127" s="108"/>
      <c r="AH127" s="108"/>
      <c r="AI127" s="108"/>
      <c r="AJ127" s="109"/>
      <c r="AK127" s="55"/>
      <c r="AL127" s="55"/>
      <c r="AM127" s="107" t="str">
        <f>IF([1]回答表!F17="簡易水道事業",IF([1]回答表!AD45="●",[1]回答表!B295,""),"")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33" customHeight="1" x14ac:dyDescent="0.4">
      <c r="C139" s="32"/>
      <c r="D139" s="190" t="s">
        <v>18</v>
      </c>
      <c r="E139" s="190"/>
      <c r="F139" s="190"/>
      <c r="G139" s="190"/>
      <c r="H139" s="190"/>
      <c r="I139" s="190"/>
      <c r="J139" s="190"/>
      <c r="K139" s="190"/>
      <c r="L139" s="190"/>
      <c r="M139" s="190"/>
      <c r="N139" s="98" t="str">
        <f>IF([1]回答表!F17="下水道事業",IF([1]回答表!X45="●","●",""),"")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IF([1]回答表!F17="下水道事業",IF([1]回答表!X45="●",[1]回答表!B158,IF([1]回答表!AA45="●",[1]回答表!B223,"")),"")</f>
        <v>　し尿受入施設を下水道終末処理場の大館処理センター敷地内に建設し、搬入されたし尿等を大館処理センターの汚泥処理系と共同処理をし、発生した脱水汚泥は秋田県の県北地区広域汚泥資源化施設で資源化する。これにより、現在の同等施設の更新建設事業費等と比較すると900百万円の削減が見込まれるほか、維持管理費等も70百万円/年の削減が見込まれる。</v>
      </c>
      <c r="AN139" s="212"/>
      <c r="AO139" s="212"/>
      <c r="AP139" s="212"/>
      <c r="AQ139" s="212"/>
      <c r="AR139" s="212"/>
      <c r="AS139" s="212"/>
      <c r="AT139" s="212"/>
      <c r="AU139" s="212"/>
      <c r="AV139" s="212"/>
      <c r="AW139" s="212"/>
      <c r="AX139" s="212"/>
      <c r="AY139" s="212"/>
      <c r="AZ139" s="212"/>
      <c r="BA139" s="212"/>
      <c r="BB139" s="212"/>
      <c r="BC139" s="213"/>
      <c r="BD139" s="34"/>
      <c r="BE139" s="34"/>
      <c r="BF139" s="116" t="str">
        <f>IF([1]回答表!F17="下水道事業",IF([1]回答表!X45="●",[1]回答表!B212,IF([1]回答表!AA45="●",[1]回答表!B278,"")),"")</f>
        <v>令和</v>
      </c>
      <c r="BG139" s="117"/>
      <c r="BH139" s="117"/>
      <c r="BI139" s="117"/>
      <c r="BJ139" s="116"/>
      <c r="BK139" s="117"/>
      <c r="BL139" s="117"/>
      <c r="BM139" s="117"/>
      <c r="BN139" s="116"/>
      <c r="BO139" s="117"/>
      <c r="BP139" s="117"/>
      <c r="BQ139" s="118"/>
      <c r="BR139" s="37"/>
    </row>
    <row r="140" spans="3:92" ht="33"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33"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IF([1]回答表!F17="下水道事業",IF([1]回答表!X45="●",[1]回答表!Y193,IF([1]回答表!AA45="●",[1]回答表!Y259,"")),"")</f>
        <v xml:space="preserve">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33"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IF([1]回答表!F17="下水道事業",IF([1]回答表!X45="●",[1]回答表!E212,IF([1]回答表!AA45="●",[1]回答表!E278,"")),"")</f>
        <v>6</v>
      </c>
      <c r="BG142" s="84"/>
      <c r="BH142" s="84"/>
      <c r="BI142" s="84"/>
      <c r="BJ142" s="83">
        <f>IF([1]回答表!F17="下水道事業",IF([1]回答表!X45="●",[1]回答表!E213,IF([1]回答表!AA45="●",[1]回答表!E279,"")),"")</f>
        <v>4</v>
      </c>
      <c r="BK142" s="84"/>
      <c r="BL142" s="84"/>
      <c r="BM142" s="84"/>
      <c r="BN142" s="83">
        <f>IF([1]回答表!F17="下水道事業",IF([1]回答表!X45="●",[1]回答表!E214,IF([1]回答表!AA45="●",[1]回答表!E280,"")),"")</f>
        <v>1</v>
      </c>
      <c r="BO142" s="84"/>
      <c r="BP142" s="84"/>
      <c r="BQ142" s="87"/>
      <c r="BR142" s="37"/>
      <c r="BX142" s="211" t="str">
        <f>IF([1]回答表!AQ20="下水道事業",IF([1]回答表!BI48="○",[1]回答表!AM161,IF([1]回答表!BL48="○",[1]回答表!AM226,"")),"")</f>
        <v/>
      </c>
      <c r="BY142" s="212"/>
      <c r="BZ142" s="212"/>
      <c r="CA142" s="212"/>
      <c r="CB142" s="212"/>
      <c r="CC142" s="212"/>
      <c r="CD142" s="212"/>
      <c r="CE142" s="212"/>
      <c r="CF142" s="212"/>
      <c r="CG142" s="212"/>
      <c r="CH142" s="212"/>
      <c r="CI142" s="212"/>
      <c r="CJ142" s="212"/>
      <c r="CK142" s="212"/>
      <c r="CL142" s="212"/>
      <c r="CM142" s="212"/>
      <c r="CN142" s="213"/>
    </row>
    <row r="143" spans="3:92" ht="33"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33"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33"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33"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33" customHeight="1" x14ac:dyDescent="0.4">
      <c r="C147" s="32"/>
      <c r="D147" s="18"/>
      <c r="E147" s="18"/>
      <c r="F147" s="18"/>
      <c r="G147" s="18"/>
      <c r="H147" s="18"/>
      <c r="I147" s="18"/>
      <c r="J147" s="18"/>
      <c r="K147" s="18"/>
      <c r="L147" s="18"/>
      <c r="M147" s="18"/>
      <c r="N147" s="18"/>
      <c r="O147" s="18"/>
      <c r="P147" s="34"/>
      <c r="Q147" s="34"/>
      <c r="R147" s="34"/>
      <c r="S147" s="38"/>
      <c r="T147" s="38"/>
      <c r="U147" s="119">
        <f>IF([1]回答表!F17="下水道事業",IF([1]回答表!X45="●",[1]回答表!Y195,IF([1]回答表!AA45="●",[1]回答表!Y261,"")),"")</f>
        <v>0</v>
      </c>
      <c r="V147" s="120"/>
      <c r="W147" s="120"/>
      <c r="X147" s="120"/>
      <c r="Y147" s="120"/>
      <c r="Z147" s="120"/>
      <c r="AA147" s="120"/>
      <c r="AB147" s="121"/>
      <c r="AC147" s="119" t="str">
        <f>IF([1]回答表!F17="下水道事業",IF([1]回答表!X45="●",[1]回答表!Y196,IF([1]回答表!AA45="●",[1]回答表!Y262,"")),"")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33"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IF([1]回答表!F17="下水道事業",IF([1]回答表!X45="●",[1]回答表!Y198,IF([1]回答表!AA45="●",[1]回答表!Y264,"")),"")</f>
        <v xml:space="preserve"> </v>
      </c>
      <c r="V153" s="120"/>
      <c r="W153" s="120"/>
      <c r="X153" s="120"/>
      <c r="Y153" s="120"/>
      <c r="Z153" s="120"/>
      <c r="AA153" s="120"/>
      <c r="AB153" s="121"/>
      <c r="AC153" s="119" t="str">
        <f>IF([1]回答表!F17="下水道事業",IF([1]回答表!X45="●",[1]回答表!Y199,IF([1]回答表!AA45="●",[1]回答表!Y265,"")),"")</f>
        <v xml:space="preserve"> </v>
      </c>
      <c r="AD153" s="120"/>
      <c r="AE153" s="120"/>
      <c r="AF153" s="120"/>
      <c r="AG153" s="120"/>
      <c r="AH153" s="120"/>
      <c r="AI153" s="120"/>
      <c r="AJ153" s="121"/>
      <c r="AK153" s="119">
        <f>IF([1]回答表!F17="下水道事業",IF([1]回答表!X45="●",[1]回答表!Y200,IF([1]回答表!AA45="●",[1]回答表!Y266,"")),"")</f>
        <v>0</v>
      </c>
      <c r="AL153" s="120"/>
      <c r="AM153" s="120"/>
      <c r="AN153" s="120"/>
      <c r="AO153" s="120"/>
      <c r="AP153" s="120"/>
      <c r="AQ153" s="120"/>
      <c r="AR153" s="121"/>
      <c r="AS153" s="119" t="str">
        <f>IF([1]回答表!F17="下水道事業",IF([1]回答表!X45="●",[1]回答表!Y201,IF([1]回答表!AA45="●",[1]回答表!Y267,"")),"")</f>
        <v xml:space="preserve"> </v>
      </c>
      <c r="AT153" s="120"/>
      <c r="AU153" s="120"/>
      <c r="AV153" s="120"/>
      <c r="AW153" s="120"/>
      <c r="AX153" s="120"/>
      <c r="AY153" s="120"/>
      <c r="AZ153" s="121"/>
      <c r="BA153" s="119" t="str">
        <f>IF([1]回答表!F17="下水道事業",IF([1]回答表!X45="●",[1]回答表!Y202,IF([1]回答表!AA45="●",[1]回答表!Y268,"")),"")</f>
        <v>●</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IF([1]回答表!F17="下水道事業",IF([1]回答表!AA45="●","●",""),"")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IF([1]回答表!F17="下水道事業",IF([1]回答表!X45="●",[1]回答表!Y207,IF([1]回答表!AA45="●",[1]回答表!Y273,"")),"")</f>
        <v>●</v>
      </c>
      <c r="V159" s="120"/>
      <c r="W159" s="120"/>
      <c r="X159" s="120"/>
      <c r="Y159" s="120"/>
      <c r="Z159" s="120"/>
      <c r="AA159" s="120"/>
      <c r="AB159" s="121"/>
      <c r="AC159" s="119" t="str">
        <f>IF([1]回答表!F17="下水道事業",IF([1]回答表!X45="●",[1]回答表!Y208,IF([1]回答表!AA45="●",[1]回答表!Y274,"")),"")</f>
        <v xml:space="preserve"> </v>
      </c>
      <c r="AD159" s="120"/>
      <c r="AE159" s="120"/>
      <c r="AF159" s="120"/>
      <c r="AG159" s="120"/>
      <c r="AH159" s="120"/>
      <c r="AI159" s="120"/>
      <c r="AJ159" s="121"/>
      <c r="AK159" s="119" t="str">
        <f>IF([1]回答表!F17="下水道事業",IF([1]回答表!X45="●",[1]回答表!Y209,IF([1]回答表!AA45="●",[1]回答表!Y275,"")),"")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IF([1]回答表!F17="下水道事業",IF([1]回答表!AD45="●","●",""),"")</f>
        <v/>
      </c>
      <c r="O164" s="99"/>
      <c r="P164" s="99"/>
      <c r="Q164" s="100"/>
      <c r="R164" s="38"/>
      <c r="S164" s="38"/>
      <c r="T164" s="38"/>
      <c r="U164" s="107" t="str">
        <f>IF([1]回答表!F17="下水道事業",IF([1]回答表!AD45="●",[1]回答表!B289,""),"")</f>
        <v/>
      </c>
      <c r="V164" s="108"/>
      <c r="W164" s="108"/>
      <c r="X164" s="108"/>
      <c r="Y164" s="108"/>
      <c r="Z164" s="108"/>
      <c r="AA164" s="108"/>
      <c r="AB164" s="108"/>
      <c r="AC164" s="108"/>
      <c r="AD164" s="108"/>
      <c r="AE164" s="108"/>
      <c r="AF164" s="108"/>
      <c r="AG164" s="108"/>
      <c r="AH164" s="108"/>
      <c r="AI164" s="108"/>
      <c r="AJ164" s="109"/>
      <c r="AK164" s="55"/>
      <c r="AL164" s="55"/>
      <c r="AM164" s="107" t="str">
        <f>IF([1]回答表!F17="下水道事業",IF([1]回答表!AD45="●",[1]回答表!B295,""),"")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IF([1]回答表!BD17="●",IF([1]回答表!X45="●","●",""),"")</f>
        <v/>
      </c>
      <c r="O176" s="99"/>
      <c r="P176" s="99"/>
      <c r="Q176" s="100"/>
      <c r="R176" s="38"/>
      <c r="S176" s="38"/>
      <c r="T176" s="38"/>
      <c r="U176" s="107" t="str">
        <f>IF([1]回答表!BD17="●",IF([1]回答表!X45="●",[1]回答表!B158,IF([1]回答表!AA45="●",[1]回答表!B223,"")),"")</f>
        <v/>
      </c>
      <c r="V176" s="108"/>
      <c r="W176" s="108"/>
      <c r="X176" s="108"/>
      <c r="Y176" s="108"/>
      <c r="Z176" s="108"/>
      <c r="AA176" s="108"/>
      <c r="AB176" s="108"/>
      <c r="AC176" s="108"/>
      <c r="AD176" s="108"/>
      <c r="AE176" s="108"/>
      <c r="AF176" s="108"/>
      <c r="AG176" s="108"/>
      <c r="AH176" s="108"/>
      <c r="AI176" s="108"/>
      <c r="AJ176" s="109"/>
      <c r="AK176" s="49"/>
      <c r="AL176" s="49"/>
      <c r="AM176" s="116" t="str">
        <f>IF([1]回答表!BD17="●",IF([1]回答表!X45="●",[1]回答表!B212,IF([1]回答表!AA45="●",[1]回答表!B278,"")),"")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IF([1]回答表!BD17="●",IF([1]回答表!X45="●",[1]回答表!E212,IF([1]回答表!AA45="●",[1]回答表!E278,"")),"")</f>
        <v/>
      </c>
      <c r="AN179" s="84"/>
      <c r="AO179" s="84"/>
      <c r="AP179" s="84"/>
      <c r="AQ179" s="83" t="str">
        <f>IF([1]回答表!BD17="●",IF([1]回答表!X45="●",[1]回答表!E213,IF([1]回答表!AA45="●",[1]回答表!E279,"")),"")</f>
        <v/>
      </c>
      <c r="AR179" s="84"/>
      <c r="AS179" s="84"/>
      <c r="AT179" s="84"/>
      <c r="AU179" s="83" t="str">
        <f>IF([1]回答表!BD17="●",IF([1]回答表!X45="●",[1]回答表!E214,IF([1]回答表!AA45="●",[1]回答表!E280,"")),"")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IF([1]回答表!BD17="●",IF([1]回答表!AA45="●","●",""),"")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IF([1]回答表!BD17="●",IF([1]回答表!AD45="●","●",""),"")</f>
        <v/>
      </c>
      <c r="O188" s="99"/>
      <c r="P188" s="99"/>
      <c r="Q188" s="100"/>
      <c r="R188" s="38"/>
      <c r="S188" s="38"/>
      <c r="T188" s="38"/>
      <c r="U188" s="107" t="str">
        <f>IF([1]回答表!BD17="●",IF([1]回答表!AD45="●",[1]回答表!B289,""),"")</f>
        <v/>
      </c>
      <c r="V188" s="108"/>
      <c r="W188" s="108"/>
      <c r="X188" s="108"/>
      <c r="Y188" s="108"/>
      <c r="Z188" s="108"/>
      <c r="AA188" s="108"/>
      <c r="AB188" s="108"/>
      <c r="AC188" s="108"/>
      <c r="AD188" s="108"/>
      <c r="AE188" s="108"/>
      <c r="AF188" s="108"/>
      <c r="AG188" s="108"/>
      <c r="AH188" s="108"/>
      <c r="AI188" s="108"/>
      <c r="AJ188" s="109"/>
      <c r="AK188" s="55"/>
      <c r="AL188" s="55"/>
      <c r="AM188" s="107" t="str">
        <f>IF([1]回答表!BD17="●",IF([1]回答表!AD45="●",[1]回答表!B295,""),"")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IF([1]回答表!X46="●","●","")</f>
        <v/>
      </c>
      <c r="O200" s="99"/>
      <c r="P200" s="99"/>
      <c r="Q200" s="100"/>
      <c r="R200" s="38"/>
      <c r="S200" s="38"/>
      <c r="T200" s="38"/>
      <c r="U200" s="107" t="str">
        <f>IF([1]回答表!X46="●",[1]回答表!B307,IF([1]回答表!AA46="●",[1]回答表!B324,""))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IF([1]回答表!X46="●",[1]回答表!U313,IF([1]回答表!AA46="●",[1]回答表!U330,""))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IF([1]回答表!X46="●",[1]回答表!G313,IF([1]回答表!AA46="●",[1]回答表!G330,""))</f>
        <v/>
      </c>
      <c r="AN203" s="120"/>
      <c r="AO203" s="120"/>
      <c r="AP203" s="120"/>
      <c r="AQ203" s="120"/>
      <c r="AR203" s="120"/>
      <c r="AS203" s="120"/>
      <c r="AT203" s="121"/>
      <c r="AU203" s="119" t="str">
        <f>IF([1]回答表!X46="●",[1]回答表!G314,IF([1]回答表!AA46="●",[1]回答表!G331,""))</f>
        <v/>
      </c>
      <c r="AV203" s="120"/>
      <c r="AW203" s="120"/>
      <c r="AX203" s="120"/>
      <c r="AY203" s="120"/>
      <c r="AZ203" s="120"/>
      <c r="BA203" s="120"/>
      <c r="BB203" s="121"/>
      <c r="BC203" s="39"/>
      <c r="BD203" s="34"/>
      <c r="BE203" s="34"/>
      <c r="BF203" s="83" t="str">
        <f>IF([1]回答表!X46="●",[1]回答表!X313,IF([1]回答表!AA46="●",[1]回答表!X330,""))</f>
        <v/>
      </c>
      <c r="BG203" s="84"/>
      <c r="BH203" s="84"/>
      <c r="BI203" s="84"/>
      <c r="BJ203" s="83" t="str">
        <f>IF([1]回答表!X46="●",[1]回答表!X314,IF([1]回答表!AA46="●",[1]回答表!X331,""))</f>
        <v/>
      </c>
      <c r="BK203" s="84"/>
      <c r="BL203" s="84"/>
      <c r="BM203" s="87"/>
      <c r="BN203" s="83" t="str">
        <f>IF([1]回答表!X46="●",[1]回答表!X315,IF([1]回答表!AA46="●",[1]回答表!X332,""))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IF([1]回答表!AD46="●","●","")</f>
        <v/>
      </c>
      <c r="O212" s="99"/>
      <c r="P212" s="99"/>
      <c r="Q212" s="100"/>
      <c r="R212" s="38"/>
      <c r="S212" s="38"/>
      <c r="T212" s="38"/>
      <c r="U212" s="107" t="str">
        <f>IF([1]回答表!AD46="●",[1]回答表!B337,"")</f>
        <v/>
      </c>
      <c r="V212" s="108"/>
      <c r="W212" s="108"/>
      <c r="X212" s="108"/>
      <c r="Y212" s="108"/>
      <c r="Z212" s="108"/>
      <c r="AA212" s="108"/>
      <c r="AB212" s="108"/>
      <c r="AC212" s="108"/>
      <c r="AD212" s="108"/>
      <c r="AE212" s="108"/>
      <c r="AF212" s="108"/>
      <c r="AG212" s="108"/>
      <c r="AH212" s="108"/>
      <c r="AI212" s="108"/>
      <c r="AJ212" s="109"/>
      <c r="AK212" s="62"/>
      <c r="AL212" s="62"/>
      <c r="AM212" s="107" t="str">
        <f>IF([1]回答表!AD46="●",[1]回答表!B343,"")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IF([1]回答表!X47="●","●","")</f>
        <v/>
      </c>
      <c r="O224" s="99"/>
      <c r="P224" s="99"/>
      <c r="Q224" s="100"/>
      <c r="R224" s="38"/>
      <c r="S224" s="38"/>
      <c r="T224" s="38"/>
      <c r="U224" s="107" t="str">
        <f>IF([1]回答表!X47="●",[1]回答表!B356,IF([1]回答表!AA47="●",[1]回答表!B379,""))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IF([1]回答表!X47="●",[1]回答表!B362,"")</f>
        <v/>
      </c>
      <c r="AO224" s="182"/>
      <c r="AP224" s="182"/>
      <c r="AQ224" s="182"/>
      <c r="AR224" s="182"/>
      <c r="AS224" s="182"/>
      <c r="AT224" s="182"/>
      <c r="AU224" s="182"/>
      <c r="AV224" s="182"/>
      <c r="AW224" s="182"/>
      <c r="AX224" s="182"/>
      <c r="AY224" s="182"/>
      <c r="AZ224" s="182"/>
      <c r="BA224" s="182"/>
      <c r="BB224" s="183"/>
      <c r="BC224" s="39"/>
      <c r="BD224" s="34"/>
      <c r="BE224" s="34"/>
      <c r="BF224" s="116" t="str">
        <f>IF([1]回答表!X47="●",[1]回答表!B368,IF([1]回答表!AA47="●",[1]回答表!B385,""))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IF([1]回答表!X47="●",[1]回答表!E368,IF([1]回答表!AA47="●",[1]回答表!E385,""))</f>
        <v/>
      </c>
      <c r="BG227" s="84"/>
      <c r="BH227" s="84"/>
      <c r="BI227" s="84"/>
      <c r="BJ227" s="83" t="str">
        <f>IF([1]回答表!X47="●",[1]回答表!E369,IF([1]回答表!AA47="●",[1]回答表!E386,""))</f>
        <v/>
      </c>
      <c r="BK227" s="84"/>
      <c r="BL227" s="84"/>
      <c r="BM227" s="87"/>
      <c r="BN227" s="83" t="str">
        <f>IF([1]回答表!X47="●",[1]回答表!E370,IF([1]回答表!AA47="●",[1]回答表!E387,""))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IF([1]回答表!AD47="●","●","")</f>
        <v/>
      </c>
      <c r="O236" s="99"/>
      <c r="P236" s="99"/>
      <c r="Q236" s="100"/>
      <c r="R236" s="38"/>
      <c r="S236" s="38"/>
      <c r="T236" s="38"/>
      <c r="U236" s="107" t="str">
        <f>IF([1]回答表!AD47="●",[1]回答表!B392,"")</f>
        <v/>
      </c>
      <c r="V236" s="108"/>
      <c r="W236" s="108"/>
      <c r="X236" s="108"/>
      <c r="Y236" s="108"/>
      <c r="Z236" s="108"/>
      <c r="AA236" s="108"/>
      <c r="AB236" s="108"/>
      <c r="AC236" s="108"/>
      <c r="AD236" s="108"/>
      <c r="AE236" s="108"/>
      <c r="AF236" s="108"/>
      <c r="AG236" s="108"/>
      <c r="AH236" s="108"/>
      <c r="AI236" s="108"/>
      <c r="AJ236" s="109"/>
      <c r="AK236" s="62"/>
      <c r="AL236" s="62"/>
      <c r="AM236" s="107" t="str">
        <f>IF([1]回答表!AD47="●",[1]回答表!B398,"")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IF([1]回答表!X48="●","●","")</f>
        <v/>
      </c>
      <c r="O248" s="99"/>
      <c r="P248" s="99"/>
      <c r="Q248" s="100"/>
      <c r="R248" s="38"/>
      <c r="S248" s="38"/>
      <c r="T248" s="38"/>
      <c r="U248" s="107" t="str">
        <f>IF([1]回答表!X48="●",[1]回答表!B411,IF([1]回答表!AA48="●",[1]回答表!B425,""))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IF([1]回答表!X48="●",[1]回答表!BC418,IF([1]回答表!AA48="●",[1]回答表!BC432,""))</f>
        <v/>
      </c>
      <c r="AR248" s="151"/>
      <c r="AS248" s="151"/>
      <c r="AT248" s="151"/>
      <c r="AU248" s="173" t="s">
        <v>73</v>
      </c>
      <c r="AV248" s="174"/>
      <c r="AW248" s="174"/>
      <c r="AX248" s="175"/>
      <c r="AY248" s="151" t="str">
        <f>IF([1]回答表!X48="●",[1]回答表!BC423,IF([1]回答表!AA48="●",[1]回答表!BC437,""))</f>
        <v/>
      </c>
      <c r="AZ248" s="151"/>
      <c r="BA248" s="151"/>
      <c r="BB248" s="151"/>
      <c r="BC248" s="39"/>
      <c r="BD248" s="34"/>
      <c r="BE248" s="34"/>
      <c r="BF248" s="116" t="str">
        <f>IF([1]回答表!X48="●",[1]回答表!S417,IF([1]回答表!AA48="●",[1]回答表!S431,""))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IF([1]回答表!X48="●",[1]回答表!BC419,IF([1]回答表!AA48="●",[1]回答表!BC433,""))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IF([1]回答表!X48="●",[1]回答表!V417,IF([1]回答表!AA48="●",[1]回答表!V431,""))</f>
        <v/>
      </c>
      <c r="BG251" s="84"/>
      <c r="BH251" s="84"/>
      <c r="BI251" s="84"/>
      <c r="BJ251" s="83" t="str">
        <f>IF([1]回答表!X48="●",[1]回答表!V418,IF([1]回答表!AA48="●",[1]回答表!V432,""))</f>
        <v/>
      </c>
      <c r="BK251" s="84"/>
      <c r="BL251" s="84"/>
      <c r="BM251" s="87"/>
      <c r="BN251" s="83" t="str">
        <f>IF([1]回答表!X48="●",[1]回答表!V419,IF([1]回答表!AA48="●",[1]回答表!V433,""))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IF([1]回答表!X48="●",[1]回答表!BC420,IF([1]回答表!AA48="●",[1]回答表!BC434,""))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IF([1]回答表!X48="●",[1]回答表!BC424,IF([1]回答表!AA48="●",[1]回答表!BC438,""))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IF([1]回答表!X48="●",[1]回答表!BC421,IF([1]回答表!AA48="●",[1]回答表!BC435,""))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IF([1]回答表!X48="●",[1]回答表!BC422,IF([1]回答表!AA48="●",[1]回答表!BC436,""))</f>
        <v/>
      </c>
      <c r="AR256" s="151"/>
      <c r="AS256" s="151"/>
      <c r="AT256" s="151"/>
      <c r="AU256" s="152" t="s">
        <v>79</v>
      </c>
      <c r="AV256" s="153"/>
      <c r="AW256" s="153"/>
      <c r="AX256" s="154"/>
      <c r="AY256" s="158" t="str">
        <f>IF([1]回答表!X48="●",[1]回答表!BC425,IF([1]回答表!AA48="●",[1]回答表!BC439,""))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IF([1]回答表!AD48="●","●","")</f>
        <v/>
      </c>
      <c r="O260" s="99"/>
      <c r="P260" s="99"/>
      <c r="Q260" s="100"/>
      <c r="R260" s="38"/>
      <c r="S260" s="38"/>
      <c r="T260" s="38"/>
      <c r="U260" s="107" t="str">
        <f>IF([1]回答表!AD48="●",[1]回答表!B439,"")</f>
        <v/>
      </c>
      <c r="V260" s="108"/>
      <c r="W260" s="108"/>
      <c r="X260" s="108"/>
      <c r="Y260" s="108"/>
      <c r="Z260" s="108"/>
      <c r="AA260" s="108"/>
      <c r="AB260" s="108"/>
      <c r="AC260" s="108"/>
      <c r="AD260" s="108"/>
      <c r="AE260" s="108"/>
      <c r="AF260" s="108"/>
      <c r="AG260" s="108"/>
      <c r="AH260" s="108"/>
      <c r="AI260" s="108"/>
      <c r="AJ260" s="109"/>
      <c r="AK260" s="55"/>
      <c r="AL260" s="55"/>
      <c r="AM260" s="107" t="str">
        <f>IF([1]回答表!AD48="●",[1]回答表!B445,"")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IF([1]回答表!X49="●","●","")</f>
        <v/>
      </c>
      <c r="O271" s="99"/>
      <c r="P271" s="99"/>
      <c r="Q271" s="100"/>
      <c r="R271" s="38"/>
      <c r="S271" s="38"/>
      <c r="T271" s="38"/>
      <c r="U271" s="107" t="str">
        <f>IF([1]回答表!X49="●",[1]回答表!B458,IF([1]回答表!AA49="●",[1]回答表!B475,""))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IF([1]回答表!X49="●",[1]回答表!B468,IF([1]回答表!AA49="●",[1]回答表!B485,""))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IF([1]回答表!X49="●",[1]回答表!G464,IF([1]回答表!AA49="●",[1]回答表!G481,""))</f>
        <v/>
      </c>
      <c r="AN273" s="120"/>
      <c r="AO273" s="120"/>
      <c r="AP273" s="120"/>
      <c r="AQ273" s="120"/>
      <c r="AR273" s="120"/>
      <c r="AS273" s="120"/>
      <c r="AT273" s="121"/>
      <c r="AU273" s="119" t="str">
        <f>IF([1]回答表!X49="●",[1]回答表!G465,IF([1]回答表!AA49="●",[1]回答表!G482,""))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IF([1]回答表!X49="●",[1]回答表!E468,IF([1]回答表!AA49="●",[1]回答表!E485,""))</f>
        <v/>
      </c>
      <c r="BG274" s="84"/>
      <c r="BH274" s="84"/>
      <c r="BI274" s="84"/>
      <c r="BJ274" s="83" t="str">
        <f>IF([1]回答表!X49="●",[1]回答表!E469,IF([1]回答表!AA49="●",[1]回答表!E486,""))</f>
        <v/>
      </c>
      <c r="BK274" s="84"/>
      <c r="BL274" s="84"/>
      <c r="BM274" s="87"/>
      <c r="BN274" s="83" t="str">
        <f>IF([1]回答表!X49="●",[1]回答表!E470,IF([1]回答表!AA49="●",[1]回答表!E487,""))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IF([1]回答表!AD49="●","●","")</f>
        <v/>
      </c>
      <c r="O283" s="99"/>
      <c r="P283" s="99"/>
      <c r="Q283" s="100"/>
      <c r="R283" s="38"/>
      <c r="S283" s="38"/>
      <c r="T283" s="38"/>
      <c r="U283" s="107" t="str">
        <f>IF([1]回答表!AD49="●",[1]回答表!B492,"")</f>
        <v/>
      </c>
      <c r="V283" s="108"/>
      <c r="W283" s="108"/>
      <c r="X283" s="108"/>
      <c r="Y283" s="108"/>
      <c r="Z283" s="108"/>
      <c r="AA283" s="108"/>
      <c r="AB283" s="108"/>
      <c r="AC283" s="108"/>
      <c r="AD283" s="108"/>
      <c r="AE283" s="108"/>
      <c r="AF283" s="108"/>
      <c r="AG283" s="108"/>
      <c r="AH283" s="108"/>
      <c r="AI283" s="108"/>
      <c r="AJ283" s="109"/>
      <c r="AK283" s="49"/>
      <c r="AL283" s="49"/>
      <c r="AM283" s="107" t="str">
        <f>IF([1]回答表!AD49="●",[1]回答表!B498,"")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IF([1]回答表!R50="●",[1]回答表!B511,"")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A01F8-6DFA-4E6E-B5B6-58C94B27D048}">
  <sheetPr>
    <pageSetUpPr fitToPage="1"/>
  </sheetPr>
  <dimension ref="A1:CN315"/>
  <sheetViews>
    <sheetView showZeros="0" view="pageBreakPreview" zoomScale="60" zoomScaleNormal="55" workbookViewId="0">
      <selection activeCell="D296" sqref="D296:BQ31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IF(COUNTIF([2]回答表!K15,"*")&gt;0,[2]回答表!K15,"")</f>
        <v>大館市</v>
      </c>
      <c r="D11" s="299"/>
      <c r="E11" s="299"/>
      <c r="F11" s="299"/>
      <c r="G11" s="299"/>
      <c r="H11" s="299"/>
      <c r="I11" s="299"/>
      <c r="J11" s="299"/>
      <c r="K11" s="299"/>
      <c r="L11" s="299"/>
      <c r="M11" s="299"/>
      <c r="N11" s="299"/>
      <c r="O11" s="299"/>
      <c r="P11" s="299"/>
      <c r="Q11" s="299"/>
      <c r="R11" s="299"/>
      <c r="S11" s="299"/>
      <c r="T11" s="299"/>
      <c r="U11" s="306" t="str">
        <f>IF(COUNTIF([2]回答表!F17,"*")&gt;0,[2]回答表!F17,"")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IF(COUNTIF([2]回答表!W17,"*")&gt;0,[2]回答表!W17,"")</f>
        <v>特定環境保全公共下水道</v>
      </c>
      <c r="AP11" s="301"/>
      <c r="AQ11" s="301"/>
      <c r="AR11" s="301"/>
      <c r="AS11" s="301"/>
      <c r="AT11" s="301"/>
      <c r="AU11" s="301"/>
      <c r="AV11" s="301"/>
      <c r="AW11" s="301"/>
      <c r="AX11" s="301"/>
      <c r="AY11" s="301"/>
      <c r="AZ11" s="301"/>
      <c r="BA11" s="301"/>
      <c r="BB11" s="301"/>
      <c r="BC11" s="301"/>
      <c r="BD11" s="301"/>
      <c r="BE11" s="301"/>
      <c r="BF11" s="302"/>
      <c r="BG11" s="305" t="str">
        <f>IF(COUNTIF([2]回答表!F19,"*")&gt;0,[2]回答表!F19,"")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IF([2]回答表!R43="●","●","")</f>
        <v/>
      </c>
      <c r="E24" s="123"/>
      <c r="F24" s="123"/>
      <c r="G24" s="123"/>
      <c r="H24" s="123"/>
      <c r="I24" s="123"/>
      <c r="J24" s="124"/>
      <c r="K24" s="122" t="str">
        <f>IF([2]回答表!R44="●","●","")</f>
        <v/>
      </c>
      <c r="L24" s="123"/>
      <c r="M24" s="123"/>
      <c r="N24" s="123"/>
      <c r="O24" s="123"/>
      <c r="P24" s="123"/>
      <c r="Q24" s="124"/>
      <c r="R24" s="122" t="str">
        <f>IF([2]回答表!R45="●","●","")</f>
        <v>●</v>
      </c>
      <c r="S24" s="123"/>
      <c r="T24" s="123"/>
      <c r="U24" s="123"/>
      <c r="V24" s="123"/>
      <c r="W24" s="123"/>
      <c r="X24" s="124"/>
      <c r="Y24" s="122" t="str">
        <f>IF([2]回答表!R46="●","●","")</f>
        <v/>
      </c>
      <c r="Z24" s="123"/>
      <c r="AA24" s="123"/>
      <c r="AB24" s="123"/>
      <c r="AC24" s="123"/>
      <c r="AD24" s="123"/>
      <c r="AE24" s="124"/>
      <c r="AF24" s="122" t="str">
        <f>IF([2]回答表!R47="●","●","")</f>
        <v/>
      </c>
      <c r="AG24" s="123"/>
      <c r="AH24" s="123"/>
      <c r="AI24" s="123"/>
      <c r="AJ24" s="123"/>
      <c r="AK24" s="123"/>
      <c r="AL24" s="124"/>
      <c r="AM24" s="122" t="str">
        <f>IF([2]回答表!R48="●","●","")</f>
        <v>●</v>
      </c>
      <c r="AN24" s="123"/>
      <c r="AO24" s="123"/>
      <c r="AP24" s="123"/>
      <c r="AQ24" s="123"/>
      <c r="AR24" s="123"/>
      <c r="AS24" s="124"/>
      <c r="AT24" s="122" t="str">
        <f>IF([2]回答表!R49="●","●","")</f>
        <v/>
      </c>
      <c r="AU24" s="123"/>
      <c r="AV24" s="123"/>
      <c r="AW24" s="123"/>
      <c r="AX24" s="123"/>
      <c r="AY24" s="123"/>
      <c r="AZ24" s="124"/>
      <c r="BA24" s="18"/>
      <c r="BB24" s="119" t="str">
        <f>IF([2]回答表!R50="●","●","")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IF([2]回答表!X43="●","●","")</f>
        <v/>
      </c>
      <c r="O36" s="99"/>
      <c r="P36" s="99"/>
      <c r="Q36" s="100"/>
      <c r="R36" s="38"/>
      <c r="S36" s="38"/>
      <c r="T36" s="38"/>
      <c r="U36" s="107" t="str">
        <f>IF([2]回答表!X43="●",[2]回答表!B59,IF([2]回答表!AA43="●",[2]回答表!B79,""))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IF([2]回答表!X43="●",[2]回答表!S65,IF([2]回答表!AA43="●",[2]回答表!S85,""))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IF([2]回答表!X43="●",[2]回答表!G65,IF([2]回答表!AA43="●",[2]回答表!G85,""))</f>
        <v/>
      </c>
      <c r="AN38" s="120"/>
      <c r="AO38" s="120"/>
      <c r="AP38" s="120"/>
      <c r="AQ38" s="120"/>
      <c r="AR38" s="120"/>
      <c r="AS38" s="120"/>
      <c r="AT38" s="121"/>
      <c r="AU38" s="119" t="str">
        <f>IF([2]回答表!X43="●",[2]回答表!G66,IF([2]回答表!AA43="●",[2]回答表!G86,""))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IF([2]回答表!X43="●",[2]回答表!V65,IF([2]回答表!AA43="●",[2]回答表!V85,""))</f>
        <v/>
      </c>
      <c r="BG39" s="249"/>
      <c r="BH39" s="249"/>
      <c r="BI39" s="250"/>
      <c r="BJ39" s="83" t="str">
        <f>IF([2]回答表!X43="●",[2]回答表!V66,IF([2]回答表!AA43="●",[2]回答表!V86,""))</f>
        <v/>
      </c>
      <c r="BK39" s="249"/>
      <c r="BL39" s="249"/>
      <c r="BM39" s="250"/>
      <c r="BN39" s="83" t="str">
        <f>IF([2]回答表!X43="●",[2]回答表!V67,IF([2]回答表!AA43="●",[2]回答表!V87,""))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IF([2]回答表!X43="●",[2]回答表!O71,IF([2]回答表!AA43="●",[2]回答表!O91,""))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IF([2]回答表!X43="●",[2]回答表!O72,IF([2]回答表!AA43="●",[2]回答表!O92,""))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IF([2]回答表!X43="●",[2]回答表!O73,IF([2]回答表!AA43="●",[2]回答表!O93,""))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IF([2]回答表!X43="●",[2]回答表!O74,IF([2]回答表!AA43="●",[2]回答表!O94,""))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IF([2]回答表!X43="●",[2]回答表!AG71,IF([2]回答表!AA43="●",[2]回答表!AG91,""))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IF([2]回答表!X43="●",[2]回答表!AG72,IF([2]回答表!AA43="●",[2]回答表!AG92,""))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IF([2]回答表!AD43="●","●","")</f>
        <v/>
      </c>
      <c r="O51" s="99"/>
      <c r="P51" s="99"/>
      <c r="Q51" s="100"/>
      <c r="R51" s="38"/>
      <c r="S51" s="38"/>
      <c r="T51" s="38"/>
      <c r="U51" s="107" t="str">
        <f>IF([2]回答表!AD43="●",[2]回答表!B99,"")</f>
        <v/>
      </c>
      <c r="V51" s="108"/>
      <c r="W51" s="108"/>
      <c r="X51" s="108"/>
      <c r="Y51" s="108"/>
      <c r="Z51" s="108"/>
      <c r="AA51" s="108"/>
      <c r="AB51" s="108"/>
      <c r="AC51" s="108"/>
      <c r="AD51" s="108"/>
      <c r="AE51" s="108"/>
      <c r="AF51" s="108"/>
      <c r="AG51" s="108"/>
      <c r="AH51" s="108"/>
      <c r="AI51" s="108"/>
      <c r="AJ51" s="109"/>
      <c r="AK51" s="55"/>
      <c r="AL51" s="55"/>
      <c r="AM51" s="107" t="str">
        <f>IF([2]回答表!AD43="●",[2]回答表!B104,"")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IF([2]回答表!X44="●","●","")</f>
        <v/>
      </c>
      <c r="O62" s="99"/>
      <c r="P62" s="99"/>
      <c r="Q62" s="100"/>
      <c r="R62" s="38"/>
      <c r="S62" s="38"/>
      <c r="T62" s="38"/>
      <c r="U62" s="107" t="str">
        <f>IF([2]回答表!X44="●",[2]回答表!B115,IF([2]回答表!AA44="●",[2]回答表!B127,""))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IF([2]回答表!X44="●",[2]回答表!S121,IF([2]回答表!AA44="●",[2]回答表!S133,""))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IF([2]回答表!X44="●",[2]回答表!J121,IF([2]回答表!AA44="●",[2]回答表!J133,""))</f>
        <v/>
      </c>
      <c r="AN65" s="120"/>
      <c r="AO65" s="120"/>
      <c r="AP65" s="120"/>
      <c r="AQ65" s="120"/>
      <c r="AR65" s="120"/>
      <c r="AS65" s="120"/>
      <c r="AT65" s="121"/>
      <c r="AU65" s="119" t="str">
        <f>IF([2]回答表!X44="●",[2]回答表!J122,IF([2]回答表!AA44="●",[2]回答表!J134,""))</f>
        <v/>
      </c>
      <c r="AV65" s="120"/>
      <c r="AW65" s="120"/>
      <c r="AX65" s="120"/>
      <c r="AY65" s="120"/>
      <c r="AZ65" s="120"/>
      <c r="BA65" s="120"/>
      <c r="BB65" s="121"/>
      <c r="BC65" s="39"/>
      <c r="BD65" s="34"/>
      <c r="BE65" s="34"/>
      <c r="BF65" s="83" t="str">
        <f>IF([2]回答表!X44="●",[2]回答表!V121,IF([2]回答表!AA44="●",[2]回答表!V133,""))</f>
        <v/>
      </c>
      <c r="BG65" s="84"/>
      <c r="BH65" s="84"/>
      <c r="BI65" s="84"/>
      <c r="BJ65" s="83" t="str">
        <f>IF([2]回答表!X44="●",[2]回答表!V122,IF([2]回答表!AA44="●",[2]回答表!V134,""))</f>
        <v/>
      </c>
      <c r="BK65" s="84"/>
      <c r="BL65" s="84"/>
      <c r="BM65" s="84"/>
      <c r="BN65" s="83" t="str">
        <f>IF([2]回答表!X44="●",[2]回答表!V123,IF([2]回答表!AA44="●",[2]回答表!V135,""))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IF([2]回答表!AD44="●","●","")</f>
        <v/>
      </c>
      <c r="O74" s="99"/>
      <c r="P74" s="99"/>
      <c r="Q74" s="100"/>
      <c r="R74" s="38"/>
      <c r="S74" s="38"/>
      <c r="T74" s="38"/>
      <c r="U74" s="107" t="str">
        <f>IF([2]回答表!AD44="●",[2]回答表!B140,"")</f>
        <v/>
      </c>
      <c r="V74" s="108"/>
      <c r="W74" s="108"/>
      <c r="X74" s="108"/>
      <c r="Y74" s="108"/>
      <c r="Z74" s="108"/>
      <c r="AA74" s="108"/>
      <c r="AB74" s="108"/>
      <c r="AC74" s="108"/>
      <c r="AD74" s="108"/>
      <c r="AE74" s="108"/>
      <c r="AF74" s="108"/>
      <c r="AG74" s="108"/>
      <c r="AH74" s="108"/>
      <c r="AI74" s="108"/>
      <c r="AJ74" s="109"/>
      <c r="AK74" s="55"/>
      <c r="AL74" s="55"/>
      <c r="AM74" s="107" t="str">
        <f>IF([2]回答表!AD44="●",[2]回答表!B146,"")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IF([2]回答表!F17="水道事業",IF([2]回答表!X45="●","●",""),"")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IF([2]回答表!F17="水道事業",IF([2]回答表!X45="●",[2]回答表!B158,IF([2]回答表!AA45="●",[2]回答表!B223,"")),"")</f>
        <v/>
      </c>
      <c r="AN86" s="212"/>
      <c r="AO86" s="212"/>
      <c r="AP86" s="212"/>
      <c r="AQ86" s="212"/>
      <c r="AR86" s="212"/>
      <c r="AS86" s="212"/>
      <c r="AT86" s="212"/>
      <c r="AU86" s="212"/>
      <c r="AV86" s="212"/>
      <c r="AW86" s="212"/>
      <c r="AX86" s="212"/>
      <c r="AY86" s="212"/>
      <c r="AZ86" s="212"/>
      <c r="BA86" s="212"/>
      <c r="BB86" s="212"/>
      <c r="BC86" s="213"/>
      <c r="BD86" s="34"/>
      <c r="BE86" s="34"/>
      <c r="BF86" s="116" t="str">
        <f>IF([2]回答表!F17="水道事業",IF([2]回答表!X45="●",[2]回答表!B212,IF([2]回答表!AA45="●",[2]回答表!B278,"")),"")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IF([2]回答表!F17="水道事業",IF([2]回答表!X45="●",[2]回答表!J166,IF([2]回答表!AA45="●",[2]回答表!J231,"")),"")</f>
        <v/>
      </c>
      <c r="V88" s="120"/>
      <c r="W88" s="120"/>
      <c r="X88" s="120"/>
      <c r="Y88" s="120"/>
      <c r="Z88" s="120"/>
      <c r="AA88" s="120"/>
      <c r="AB88" s="121"/>
      <c r="AC88" s="119" t="str">
        <f>IF([2]回答表!F17="水道事業",IF([2]回答表!X45="●",[2]回答表!J173,IF([2]回答表!AA45="●",[2]回答表!J238,"")),"")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IF([2]回答表!F17="水道事業",IF([2]回答表!X45="●",[2]回答表!E212,IF([2]回答表!AA45="●",[2]回答表!E278,"")),"")</f>
        <v/>
      </c>
      <c r="BG89" s="84"/>
      <c r="BH89" s="84"/>
      <c r="BI89" s="84"/>
      <c r="BJ89" s="83" t="str">
        <f>IF([2]回答表!F17="水道事業",IF([2]回答表!X45="●",[2]回答表!E213,IF([2]回答表!AA45="●",[2]回答表!E279,"")),"")</f>
        <v/>
      </c>
      <c r="BK89" s="84"/>
      <c r="BL89" s="84"/>
      <c r="BM89" s="84"/>
      <c r="BN89" s="83" t="str">
        <f>IF([2]回答表!F17="水道事業",IF([2]回答表!X45="●",[2]回答表!E214,IF([2]回答表!AA45="●",[2]回答表!E280,"")),"")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IF([2]回答表!F17="水道事業",IF([2]回答表!AA45="●","●",""),"")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IF([2]回答表!F17="水道事業",IF([2]回答表!X45="●",[2]回答表!J176,IF([2]回答表!AA45="●",[2]回答表!J241,"")),"")</f>
        <v/>
      </c>
      <c r="V93" s="120"/>
      <c r="W93" s="120"/>
      <c r="X93" s="120"/>
      <c r="Y93" s="120"/>
      <c r="Z93" s="120"/>
      <c r="AA93" s="120"/>
      <c r="AB93" s="121"/>
      <c r="AC93" s="119" t="str">
        <f>IF([2]回答表!F17="水道事業",IF([2]回答表!X45="●",[2]回答表!J180,IF([2]回答表!AA45="●",[2]回答表!J245,"")),"")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IF([2]回答表!F17="水道事業",IF([2]回答表!AD45="●","●",""),"")</f>
        <v/>
      </c>
      <c r="O98" s="99"/>
      <c r="P98" s="99"/>
      <c r="Q98" s="100"/>
      <c r="R98" s="38"/>
      <c r="S98" s="38"/>
      <c r="T98" s="38"/>
      <c r="U98" s="107" t="str">
        <f>IF([2]回答表!F17="水道事業",IF([2]回答表!AD45="●",[2]回答表!B289,""),"")</f>
        <v/>
      </c>
      <c r="V98" s="108"/>
      <c r="W98" s="108"/>
      <c r="X98" s="108"/>
      <c r="Y98" s="108"/>
      <c r="Z98" s="108"/>
      <c r="AA98" s="108"/>
      <c r="AB98" s="108"/>
      <c r="AC98" s="108"/>
      <c r="AD98" s="108"/>
      <c r="AE98" s="108"/>
      <c r="AF98" s="108"/>
      <c r="AG98" s="108"/>
      <c r="AH98" s="108"/>
      <c r="AI98" s="108"/>
      <c r="AJ98" s="109"/>
      <c r="AK98" s="55"/>
      <c r="AL98" s="55"/>
      <c r="AM98" s="107" t="str">
        <f>IF([2]回答表!F17="水道事業",IF([2]回答表!AD45="●",[2]回答表!B295,""),"")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IF([2]回答表!F17="簡易水道事業",IF([2]回答表!X45="●",[2]回答表!B158,IF([2]回答表!AA45="●",[2]回答表!B223,"")),"")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IF([2]回答表!F17="簡易水道事業",IF([2]回答表!X45="●",[2]回答表!B212,IF([2]回答表!AA45="●",[2]回答表!B278,"")),"")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IF([2]回答表!F17="簡易水道事業",IF([2]回答表!X45="●","●",""),"")</f>
        <v/>
      </c>
      <c r="O112" s="99"/>
      <c r="P112" s="99"/>
      <c r="Q112" s="100"/>
      <c r="R112" s="38"/>
      <c r="S112" s="38"/>
      <c r="T112" s="38"/>
      <c r="U112" s="119" t="str">
        <f>IF([2]回答表!F17="簡易水道事業",IF([2]回答表!X45="●",[2]回答表!Y185,IF([2]回答表!AA45="●",[2]回答表!Y251,"")),"")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IF([2]回答表!F17="簡易水道事業",IF([2]回答表!X45="●",[2]回答表!E212,IF([2]回答表!AA45="●",[2]回答表!E278,"")),"")</f>
        <v/>
      </c>
      <c r="BG113" s="84"/>
      <c r="BH113" s="84"/>
      <c r="BI113" s="84"/>
      <c r="BJ113" s="83" t="str">
        <f>IF([2]回答表!F17="簡易水道事業",IF([2]回答表!X45="●",[2]回答表!E213,IF([2]回答表!AA45="●",[2]回答表!E279,"")),"")</f>
        <v/>
      </c>
      <c r="BK113" s="84"/>
      <c r="BL113" s="84"/>
      <c r="BM113" s="84"/>
      <c r="BN113" s="83" t="str">
        <f>IF([2]回答表!F17="簡易水道事業",IF([2]回答表!X45="●",[2]回答表!E214,IF([2]回答表!AA45="●",[2]回答表!E280,"")),"")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IF([2]回答表!F17="簡易水道事業",IF([2]回答表!X45="●",[2]回答表!Y186,IF([2]回答表!AA45="●",[2]回答表!Y252,"")),"")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IF([2]回答表!F17="簡易水道事業",IF([2]回答表!AA45="●","●",""),"")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IF([2]回答表!F17="簡易水道事業",IF([2]回答表!X45="●",[2]回答表!Y187,IF([2]回答表!AA45="●",[2]回答表!Y253,"")),"")</f>
        <v/>
      </c>
      <c r="V122" s="120"/>
      <c r="W122" s="120"/>
      <c r="X122" s="120"/>
      <c r="Y122" s="120"/>
      <c r="Z122" s="120"/>
      <c r="AA122" s="120"/>
      <c r="AB122" s="120"/>
      <c r="AC122" s="120"/>
      <c r="AD122" s="120"/>
      <c r="AE122" s="120"/>
      <c r="AF122" s="120"/>
      <c r="AG122" s="120"/>
      <c r="AH122" s="120"/>
      <c r="AI122" s="120"/>
      <c r="AJ122" s="121"/>
      <c r="AK122" s="18"/>
      <c r="AL122" s="18"/>
      <c r="AM122" s="228" t="str">
        <f>IF([2]回答表!F17="簡易水道事業",IF([2]回答表!X45="●",[2]回答表!Y189,IF([2]回答表!AA45="●",[2]回答表!Y255,"")),"")</f>
        <v/>
      </c>
      <c r="AN122" s="228"/>
      <c r="AO122" s="228"/>
      <c r="AP122" s="228"/>
      <c r="AQ122" s="228"/>
      <c r="AR122" s="228"/>
      <c r="AS122" s="228" t="str">
        <f>IF([2]回答表!F17="簡易水道事業",IF([2]回答表!X45="●",[2]回答表!Y190,IF([2]回答表!AA45="●",[2]回答表!Y256,"")),"")</f>
        <v/>
      </c>
      <c r="AT122" s="228"/>
      <c r="AU122" s="228"/>
      <c r="AV122" s="228"/>
      <c r="AW122" s="228"/>
      <c r="AX122" s="228"/>
      <c r="AY122" s="228" t="str">
        <f>IF([2]回答表!F17="簡易水道事業",IF([2]回答表!X45="●",[2]回答表!Y191,IF([2]回答表!AA45="●",[2]回答表!Y257,"")),"")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IF([2]回答表!F17="簡易水道事業",IF([2]回答表!AD45="●","●",""),"")</f>
        <v/>
      </c>
      <c r="O127" s="99"/>
      <c r="P127" s="99"/>
      <c r="Q127" s="100"/>
      <c r="R127" s="38"/>
      <c r="S127" s="38"/>
      <c r="T127" s="38"/>
      <c r="U127" s="107" t="str">
        <f>IF([2]回答表!F17="簡易水道事業",IF([2]回答表!AD45="●",[2]回答表!B289,""),"")</f>
        <v/>
      </c>
      <c r="V127" s="108"/>
      <c r="W127" s="108"/>
      <c r="X127" s="108"/>
      <c r="Y127" s="108"/>
      <c r="Z127" s="108"/>
      <c r="AA127" s="108"/>
      <c r="AB127" s="108"/>
      <c r="AC127" s="108"/>
      <c r="AD127" s="108"/>
      <c r="AE127" s="108"/>
      <c r="AF127" s="108"/>
      <c r="AG127" s="108"/>
      <c r="AH127" s="108"/>
      <c r="AI127" s="108"/>
      <c r="AJ127" s="109"/>
      <c r="AK127" s="55"/>
      <c r="AL127" s="55"/>
      <c r="AM127" s="107" t="str">
        <f>IF([2]回答表!F17="簡易水道事業",IF([2]回答表!AD45="●",[2]回答表!B295,""),"")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22.5" customHeight="1" x14ac:dyDescent="0.4">
      <c r="C139" s="32"/>
      <c r="D139" s="190" t="s">
        <v>18</v>
      </c>
      <c r="E139" s="190"/>
      <c r="F139" s="190"/>
      <c r="G139" s="190"/>
      <c r="H139" s="190"/>
      <c r="I139" s="190"/>
      <c r="J139" s="190"/>
      <c r="K139" s="190"/>
      <c r="L139" s="190"/>
      <c r="M139" s="190"/>
      <c r="N139" s="98" t="str">
        <f>IF([2]回答表!F17="下水道事業",IF([2]回答表!X45="●","●",""),"")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IF([2]回答表!F17="下水道事業",IF([2]回答表!X45="●",[2]回答表!B158,IF([2]回答表!AA45="●",[2]回答表!B223,"")),"")</f>
        <v>　真中地区農業集落排水施設の終末処理場の老朽化に伴い大館処理区の終末処理場へ接続管等を整備する。現在の同等施設の更新建設事業費と大館処理区終末処理場への接続管渠等の整備事業と比較すると220百万円の削減が見込まれるほか、維持管理費等も6百万円/年の削減が見込まれる。</v>
      </c>
      <c r="AN139" s="212"/>
      <c r="AO139" s="212"/>
      <c r="AP139" s="212"/>
      <c r="AQ139" s="212"/>
      <c r="AR139" s="212"/>
      <c r="AS139" s="212"/>
      <c r="AT139" s="212"/>
      <c r="AU139" s="212"/>
      <c r="AV139" s="212"/>
      <c r="AW139" s="212"/>
      <c r="AX139" s="212"/>
      <c r="AY139" s="212"/>
      <c r="AZ139" s="212"/>
      <c r="BA139" s="212"/>
      <c r="BB139" s="212"/>
      <c r="BC139" s="213"/>
      <c r="BD139" s="34"/>
      <c r="BE139" s="34"/>
      <c r="BF139" s="116" t="str">
        <f>IF([2]回答表!F17="下水道事業",IF([2]回答表!X45="●",[2]回答表!B212,IF([2]回答表!AA45="●",[2]回答表!B278,"")),"")</f>
        <v>令和</v>
      </c>
      <c r="BG139" s="117"/>
      <c r="BH139" s="117"/>
      <c r="BI139" s="117"/>
      <c r="BJ139" s="116"/>
      <c r="BK139" s="117"/>
      <c r="BL139" s="117"/>
      <c r="BM139" s="117"/>
      <c r="BN139" s="116"/>
      <c r="BO139" s="117"/>
      <c r="BP139" s="117"/>
      <c r="BQ139" s="118"/>
      <c r="BR139" s="37"/>
    </row>
    <row r="140" spans="3:92" ht="22.5"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22.5"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IF([2]回答表!F17="下水道事業",IF([2]回答表!X45="●",[2]回答表!Y193,IF([2]回答表!AA45="●",[2]回答表!Y259,"")),"")</f>
        <v>●</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22.5"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IF([2]回答表!F17="下水道事業",IF([2]回答表!X45="●",[2]回答表!E212,IF([2]回答表!AA45="●",[2]回答表!E278,"")),"")</f>
        <v>4</v>
      </c>
      <c r="BG142" s="84"/>
      <c r="BH142" s="84"/>
      <c r="BI142" s="84"/>
      <c r="BJ142" s="83">
        <f>IF([2]回答表!F17="下水道事業",IF([2]回答表!X45="●",[2]回答表!E213,IF([2]回答表!AA45="●",[2]回答表!E279,"")),"")</f>
        <v>4</v>
      </c>
      <c r="BK142" s="84"/>
      <c r="BL142" s="84"/>
      <c r="BM142" s="84"/>
      <c r="BN142" s="83">
        <f>IF([2]回答表!F17="下水道事業",IF([2]回答表!X45="●",[2]回答表!E214,IF([2]回答表!AA45="●",[2]回答表!E280,"")),"")</f>
        <v>1</v>
      </c>
      <c r="BO142" s="84"/>
      <c r="BP142" s="84"/>
      <c r="BQ142" s="87"/>
      <c r="BR142" s="37"/>
      <c r="BX142" s="211" t="str">
        <f>IF([2]回答表!AQ20="下水道事業",IF([2]回答表!BI48="○",[2]回答表!AM161,IF([2]回答表!BL48="○",[2]回答表!AM226,"")),"")</f>
        <v/>
      </c>
      <c r="BY142" s="212"/>
      <c r="BZ142" s="212"/>
      <c r="CA142" s="212"/>
      <c r="CB142" s="212"/>
      <c r="CC142" s="212"/>
      <c r="CD142" s="212"/>
      <c r="CE142" s="212"/>
      <c r="CF142" s="212"/>
      <c r="CG142" s="212"/>
      <c r="CH142" s="212"/>
      <c r="CI142" s="212"/>
      <c r="CJ142" s="212"/>
      <c r="CK142" s="212"/>
      <c r="CL142" s="212"/>
      <c r="CM142" s="212"/>
      <c r="CN142" s="213"/>
    </row>
    <row r="143" spans="3:92" ht="22.5"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22.5"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22.5"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22.5"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22.5" customHeight="1" x14ac:dyDescent="0.4">
      <c r="C147" s="32"/>
      <c r="D147" s="18"/>
      <c r="E147" s="18"/>
      <c r="F147" s="18"/>
      <c r="G147" s="18"/>
      <c r="H147" s="18"/>
      <c r="I147" s="18"/>
      <c r="J147" s="18"/>
      <c r="K147" s="18"/>
      <c r="L147" s="18"/>
      <c r="M147" s="18"/>
      <c r="N147" s="18"/>
      <c r="O147" s="18"/>
      <c r="P147" s="34"/>
      <c r="Q147" s="34"/>
      <c r="R147" s="34"/>
      <c r="S147" s="38"/>
      <c r="T147" s="38"/>
      <c r="U147" s="119" t="str">
        <f>IF([2]回答表!F17="下水道事業",IF([2]回答表!X45="●",[2]回答表!Y195,IF([2]回答表!AA45="●",[2]回答表!Y261,"")),"")</f>
        <v>●</v>
      </c>
      <c r="V147" s="120"/>
      <c r="W147" s="120"/>
      <c r="X147" s="120"/>
      <c r="Y147" s="120"/>
      <c r="Z147" s="120"/>
      <c r="AA147" s="120"/>
      <c r="AB147" s="121"/>
      <c r="AC147" s="119">
        <f>IF([2]回答表!F17="下水道事業",IF([2]回答表!X45="●",[2]回答表!Y196,IF([2]回答表!AA45="●",[2]回答表!Y262,"")),"")</f>
        <v>0</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22.5"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IF([2]回答表!F17="下水道事業",IF([2]回答表!X45="●",[2]回答表!Y198,IF([2]回答表!AA45="●",[2]回答表!Y264,"")),"")</f>
        <v xml:space="preserve"> </v>
      </c>
      <c r="V153" s="120"/>
      <c r="W153" s="120"/>
      <c r="X153" s="120"/>
      <c r="Y153" s="120"/>
      <c r="Z153" s="120"/>
      <c r="AA153" s="120"/>
      <c r="AB153" s="121"/>
      <c r="AC153" s="119" t="str">
        <f>IF([2]回答表!F17="下水道事業",IF([2]回答表!X45="●",[2]回答表!Y199,IF([2]回答表!AA45="●",[2]回答表!Y265,"")),"")</f>
        <v xml:space="preserve"> </v>
      </c>
      <c r="AD153" s="120"/>
      <c r="AE153" s="120"/>
      <c r="AF153" s="120"/>
      <c r="AG153" s="120"/>
      <c r="AH153" s="120"/>
      <c r="AI153" s="120"/>
      <c r="AJ153" s="121"/>
      <c r="AK153" s="119" t="str">
        <f>IF([2]回答表!F17="下水道事業",IF([2]回答表!X45="●",[2]回答表!Y200,IF([2]回答表!AA45="●",[2]回答表!Y266,"")),"")</f>
        <v>●</v>
      </c>
      <c r="AL153" s="120"/>
      <c r="AM153" s="120"/>
      <c r="AN153" s="120"/>
      <c r="AO153" s="120"/>
      <c r="AP153" s="120"/>
      <c r="AQ153" s="120"/>
      <c r="AR153" s="121"/>
      <c r="AS153" s="119" t="str">
        <f>IF([2]回答表!F17="下水道事業",IF([2]回答表!X45="●",[2]回答表!Y201,IF([2]回答表!AA45="●",[2]回答表!Y267,"")),"")</f>
        <v xml:space="preserve"> </v>
      </c>
      <c r="AT153" s="120"/>
      <c r="AU153" s="120"/>
      <c r="AV153" s="120"/>
      <c r="AW153" s="120"/>
      <c r="AX153" s="120"/>
      <c r="AY153" s="120"/>
      <c r="AZ153" s="121"/>
      <c r="BA153" s="119">
        <f>IF([2]回答表!F17="下水道事業",IF([2]回答表!X45="●",[2]回答表!Y202,IF([2]回答表!AA45="●",[2]回答表!Y268,"")),"")</f>
        <v>0</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IF([2]回答表!F17="下水道事業",IF([2]回答表!AA45="●","●",""),"")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f>IF([2]回答表!F17="下水道事業",IF([2]回答表!X45="●",[2]回答表!Y207,IF([2]回答表!AA45="●",[2]回答表!Y273,"")),"")</f>
        <v>0</v>
      </c>
      <c r="V159" s="120"/>
      <c r="W159" s="120"/>
      <c r="X159" s="120"/>
      <c r="Y159" s="120"/>
      <c r="Z159" s="120"/>
      <c r="AA159" s="120"/>
      <c r="AB159" s="121"/>
      <c r="AC159" s="119" t="str">
        <f>IF([2]回答表!F17="下水道事業",IF([2]回答表!X45="●",[2]回答表!Y208,IF([2]回答表!AA45="●",[2]回答表!Y274,"")),"")</f>
        <v xml:space="preserve"> </v>
      </c>
      <c r="AD159" s="120"/>
      <c r="AE159" s="120"/>
      <c r="AF159" s="120"/>
      <c r="AG159" s="120"/>
      <c r="AH159" s="120"/>
      <c r="AI159" s="120"/>
      <c r="AJ159" s="121"/>
      <c r="AK159" s="119" t="str">
        <f>IF([2]回答表!F17="下水道事業",IF([2]回答表!X45="●",[2]回答表!Y209,IF([2]回答表!AA45="●",[2]回答表!Y275,"")),"")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IF([2]回答表!F17="下水道事業",IF([2]回答表!AD45="●","●",""),"")</f>
        <v/>
      </c>
      <c r="O164" s="99"/>
      <c r="P164" s="99"/>
      <c r="Q164" s="100"/>
      <c r="R164" s="38"/>
      <c r="S164" s="38"/>
      <c r="T164" s="38"/>
      <c r="U164" s="107" t="str">
        <f>IF([2]回答表!F17="下水道事業",IF([2]回答表!AD45="●",[2]回答表!B289,""),"")</f>
        <v/>
      </c>
      <c r="V164" s="108"/>
      <c r="W164" s="108"/>
      <c r="X164" s="108"/>
      <c r="Y164" s="108"/>
      <c r="Z164" s="108"/>
      <c r="AA164" s="108"/>
      <c r="AB164" s="108"/>
      <c r="AC164" s="108"/>
      <c r="AD164" s="108"/>
      <c r="AE164" s="108"/>
      <c r="AF164" s="108"/>
      <c r="AG164" s="108"/>
      <c r="AH164" s="108"/>
      <c r="AI164" s="108"/>
      <c r="AJ164" s="109"/>
      <c r="AK164" s="55"/>
      <c r="AL164" s="55"/>
      <c r="AM164" s="107" t="str">
        <f>IF([2]回答表!F17="下水道事業",IF([2]回答表!AD45="●",[2]回答表!B295,""),"")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IF([2]回答表!BD17="●",IF([2]回答表!X45="●","●",""),"")</f>
        <v/>
      </c>
      <c r="O176" s="99"/>
      <c r="P176" s="99"/>
      <c r="Q176" s="100"/>
      <c r="R176" s="38"/>
      <c r="S176" s="38"/>
      <c r="T176" s="38"/>
      <c r="U176" s="107" t="str">
        <f>IF([2]回答表!BD17="●",IF([2]回答表!X45="●",[2]回答表!B158,IF([2]回答表!AA45="●",[2]回答表!B223,"")),"")</f>
        <v/>
      </c>
      <c r="V176" s="108"/>
      <c r="W176" s="108"/>
      <c r="X176" s="108"/>
      <c r="Y176" s="108"/>
      <c r="Z176" s="108"/>
      <c r="AA176" s="108"/>
      <c r="AB176" s="108"/>
      <c r="AC176" s="108"/>
      <c r="AD176" s="108"/>
      <c r="AE176" s="108"/>
      <c r="AF176" s="108"/>
      <c r="AG176" s="108"/>
      <c r="AH176" s="108"/>
      <c r="AI176" s="108"/>
      <c r="AJ176" s="109"/>
      <c r="AK176" s="49"/>
      <c r="AL176" s="49"/>
      <c r="AM176" s="116" t="str">
        <f>IF([2]回答表!BD17="●",IF([2]回答表!X45="●",[2]回答表!B212,IF([2]回答表!AA45="●",[2]回答表!B278,"")),"")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IF([2]回答表!BD17="●",IF([2]回答表!X45="●",[2]回答表!E212,IF([2]回答表!AA45="●",[2]回答表!E278,"")),"")</f>
        <v/>
      </c>
      <c r="AN179" s="84"/>
      <c r="AO179" s="84"/>
      <c r="AP179" s="84"/>
      <c r="AQ179" s="83" t="str">
        <f>IF([2]回答表!BD17="●",IF([2]回答表!X45="●",[2]回答表!E213,IF([2]回答表!AA45="●",[2]回答表!E279,"")),"")</f>
        <v/>
      </c>
      <c r="AR179" s="84"/>
      <c r="AS179" s="84"/>
      <c r="AT179" s="84"/>
      <c r="AU179" s="83" t="str">
        <f>IF([2]回答表!BD17="●",IF([2]回答表!X45="●",[2]回答表!E214,IF([2]回答表!AA45="●",[2]回答表!E280,"")),"")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IF([2]回答表!BD17="●",IF([2]回答表!AA45="●","●",""),"")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IF([2]回答表!BD17="●",IF([2]回答表!AD45="●","●",""),"")</f>
        <v/>
      </c>
      <c r="O188" s="99"/>
      <c r="P188" s="99"/>
      <c r="Q188" s="100"/>
      <c r="R188" s="38"/>
      <c r="S188" s="38"/>
      <c r="T188" s="38"/>
      <c r="U188" s="107" t="str">
        <f>IF([2]回答表!BD17="●",IF([2]回答表!AD45="●",[2]回答表!B289,""),"")</f>
        <v/>
      </c>
      <c r="V188" s="108"/>
      <c r="W188" s="108"/>
      <c r="X188" s="108"/>
      <c r="Y188" s="108"/>
      <c r="Z188" s="108"/>
      <c r="AA188" s="108"/>
      <c r="AB188" s="108"/>
      <c r="AC188" s="108"/>
      <c r="AD188" s="108"/>
      <c r="AE188" s="108"/>
      <c r="AF188" s="108"/>
      <c r="AG188" s="108"/>
      <c r="AH188" s="108"/>
      <c r="AI188" s="108"/>
      <c r="AJ188" s="109"/>
      <c r="AK188" s="55"/>
      <c r="AL188" s="55"/>
      <c r="AM188" s="107" t="str">
        <f>IF([2]回答表!BD17="●",IF([2]回答表!AD45="●",[2]回答表!B295,""),"")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IF([2]回答表!X46="●","●","")</f>
        <v/>
      </c>
      <c r="O200" s="99"/>
      <c r="P200" s="99"/>
      <c r="Q200" s="100"/>
      <c r="R200" s="38"/>
      <c r="S200" s="38"/>
      <c r="T200" s="38"/>
      <c r="U200" s="107" t="str">
        <f>IF([2]回答表!X46="●",[2]回答表!B307,IF([2]回答表!AA46="●",[2]回答表!B324,""))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IF([2]回答表!X46="●",[2]回答表!U313,IF([2]回答表!AA46="●",[2]回答表!U330,""))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IF([2]回答表!X46="●",[2]回答表!G313,IF([2]回答表!AA46="●",[2]回答表!G330,""))</f>
        <v/>
      </c>
      <c r="AN203" s="120"/>
      <c r="AO203" s="120"/>
      <c r="AP203" s="120"/>
      <c r="AQ203" s="120"/>
      <c r="AR203" s="120"/>
      <c r="AS203" s="120"/>
      <c r="AT203" s="121"/>
      <c r="AU203" s="119" t="str">
        <f>IF([2]回答表!X46="●",[2]回答表!G314,IF([2]回答表!AA46="●",[2]回答表!G331,""))</f>
        <v/>
      </c>
      <c r="AV203" s="120"/>
      <c r="AW203" s="120"/>
      <c r="AX203" s="120"/>
      <c r="AY203" s="120"/>
      <c r="AZ203" s="120"/>
      <c r="BA203" s="120"/>
      <c r="BB203" s="121"/>
      <c r="BC203" s="39"/>
      <c r="BD203" s="34"/>
      <c r="BE203" s="34"/>
      <c r="BF203" s="83" t="str">
        <f>IF([2]回答表!X46="●",[2]回答表!X313,IF([2]回答表!AA46="●",[2]回答表!X330,""))</f>
        <v/>
      </c>
      <c r="BG203" s="84"/>
      <c r="BH203" s="84"/>
      <c r="BI203" s="84"/>
      <c r="BJ203" s="83" t="str">
        <f>IF([2]回答表!X46="●",[2]回答表!X314,IF([2]回答表!AA46="●",[2]回答表!X331,""))</f>
        <v/>
      </c>
      <c r="BK203" s="84"/>
      <c r="BL203" s="84"/>
      <c r="BM203" s="87"/>
      <c r="BN203" s="83" t="str">
        <f>IF([2]回答表!X46="●",[2]回答表!X315,IF([2]回答表!AA46="●",[2]回答表!X332,""))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IF([2]回答表!AD46="●","●","")</f>
        <v/>
      </c>
      <c r="O212" s="99"/>
      <c r="P212" s="99"/>
      <c r="Q212" s="100"/>
      <c r="R212" s="38"/>
      <c r="S212" s="38"/>
      <c r="T212" s="38"/>
      <c r="U212" s="107" t="str">
        <f>IF([2]回答表!AD46="●",[2]回答表!B337,"")</f>
        <v/>
      </c>
      <c r="V212" s="108"/>
      <c r="W212" s="108"/>
      <c r="X212" s="108"/>
      <c r="Y212" s="108"/>
      <c r="Z212" s="108"/>
      <c r="AA212" s="108"/>
      <c r="AB212" s="108"/>
      <c r="AC212" s="108"/>
      <c r="AD212" s="108"/>
      <c r="AE212" s="108"/>
      <c r="AF212" s="108"/>
      <c r="AG212" s="108"/>
      <c r="AH212" s="108"/>
      <c r="AI212" s="108"/>
      <c r="AJ212" s="109"/>
      <c r="AK212" s="62"/>
      <c r="AL212" s="62"/>
      <c r="AM212" s="107" t="str">
        <f>IF([2]回答表!AD46="●",[2]回答表!B343,"")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IF([2]回答表!X47="●","●","")</f>
        <v/>
      </c>
      <c r="O224" s="99"/>
      <c r="P224" s="99"/>
      <c r="Q224" s="100"/>
      <c r="R224" s="38"/>
      <c r="S224" s="38"/>
      <c r="T224" s="38"/>
      <c r="U224" s="107" t="str">
        <f>IF([2]回答表!X47="●",[2]回答表!B356,IF([2]回答表!AA47="●",[2]回答表!B379,""))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IF([2]回答表!X47="●",[2]回答表!B362,"")</f>
        <v/>
      </c>
      <c r="AO224" s="182"/>
      <c r="AP224" s="182"/>
      <c r="AQ224" s="182"/>
      <c r="AR224" s="182"/>
      <c r="AS224" s="182"/>
      <c r="AT224" s="182"/>
      <c r="AU224" s="182"/>
      <c r="AV224" s="182"/>
      <c r="AW224" s="182"/>
      <c r="AX224" s="182"/>
      <c r="AY224" s="182"/>
      <c r="AZ224" s="182"/>
      <c r="BA224" s="182"/>
      <c r="BB224" s="183"/>
      <c r="BC224" s="39"/>
      <c r="BD224" s="34"/>
      <c r="BE224" s="34"/>
      <c r="BF224" s="116" t="str">
        <f>IF([2]回答表!X47="●",[2]回答表!B368,IF([2]回答表!AA47="●",[2]回答表!B385,""))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IF([2]回答表!X47="●",[2]回答表!E368,IF([2]回答表!AA47="●",[2]回答表!E385,""))</f>
        <v/>
      </c>
      <c r="BG227" s="84"/>
      <c r="BH227" s="84"/>
      <c r="BI227" s="84"/>
      <c r="BJ227" s="83" t="str">
        <f>IF([2]回答表!X47="●",[2]回答表!E369,IF([2]回答表!AA47="●",[2]回答表!E386,""))</f>
        <v/>
      </c>
      <c r="BK227" s="84"/>
      <c r="BL227" s="84"/>
      <c r="BM227" s="87"/>
      <c r="BN227" s="83" t="str">
        <f>IF([2]回答表!X47="●",[2]回答表!E370,IF([2]回答表!AA47="●",[2]回答表!E387,""))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IF([2]回答表!AD47="●","●","")</f>
        <v/>
      </c>
      <c r="O236" s="99"/>
      <c r="P236" s="99"/>
      <c r="Q236" s="100"/>
      <c r="R236" s="38"/>
      <c r="S236" s="38"/>
      <c r="T236" s="38"/>
      <c r="U236" s="107" t="str">
        <f>IF([2]回答表!AD47="●",[2]回答表!B392,"")</f>
        <v/>
      </c>
      <c r="V236" s="108"/>
      <c r="W236" s="108"/>
      <c r="X236" s="108"/>
      <c r="Y236" s="108"/>
      <c r="Z236" s="108"/>
      <c r="AA236" s="108"/>
      <c r="AB236" s="108"/>
      <c r="AC236" s="108"/>
      <c r="AD236" s="108"/>
      <c r="AE236" s="108"/>
      <c r="AF236" s="108"/>
      <c r="AG236" s="108"/>
      <c r="AH236" s="108"/>
      <c r="AI236" s="108"/>
      <c r="AJ236" s="109"/>
      <c r="AK236" s="62"/>
      <c r="AL236" s="62"/>
      <c r="AM236" s="107" t="str">
        <f>IF([2]回答表!AD47="●",[2]回答表!B398,"")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21" customHeight="1" x14ac:dyDescent="0.4">
      <c r="A248" s="24"/>
      <c r="B248" s="24"/>
      <c r="C248" s="32"/>
      <c r="D248" s="89" t="s">
        <v>18</v>
      </c>
      <c r="E248" s="90"/>
      <c r="F248" s="90"/>
      <c r="G248" s="90"/>
      <c r="H248" s="90"/>
      <c r="I248" s="90"/>
      <c r="J248" s="90"/>
      <c r="K248" s="90"/>
      <c r="L248" s="90"/>
      <c r="M248" s="91"/>
      <c r="N248" s="98" t="str">
        <f>IF([2]回答表!X48="●","●","")</f>
        <v>●</v>
      </c>
      <c r="O248" s="99"/>
      <c r="P248" s="99"/>
      <c r="Q248" s="100"/>
      <c r="R248" s="38"/>
      <c r="S248" s="38"/>
      <c r="T248" s="38"/>
      <c r="U248" s="107" t="str">
        <f>IF([2]回答表!X48="●",[2]回答表!B411,IF([2]回答表!AA48="●",[2]回答表!B425,""))</f>
        <v>　大館市川口・立花地区の公共下水道未普及解消事業（管渠整備）においてＰＰＰ手法を導入し早期の完成を目指す。
 総事業費で10％の縮減、工事は約１．３倍程度のスピードが可能となるため工期短縮効果がある。</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IF([2]回答表!X48="●",[2]回答表!BC418,IF([2]回答表!AA48="●",[2]回答表!BC432,""))</f>
        <v>　</v>
      </c>
      <c r="AR248" s="151"/>
      <c r="AS248" s="151"/>
      <c r="AT248" s="151"/>
      <c r="AU248" s="173" t="s">
        <v>73</v>
      </c>
      <c r="AV248" s="174"/>
      <c r="AW248" s="174"/>
      <c r="AX248" s="175"/>
      <c r="AY248" s="151" t="str">
        <f>IF([2]回答表!X48="●",[2]回答表!BC423,IF([2]回答表!AA48="●",[2]回答表!BC437,""))</f>
        <v>　</v>
      </c>
      <c r="AZ248" s="151"/>
      <c r="BA248" s="151"/>
      <c r="BB248" s="151"/>
      <c r="BC248" s="39"/>
      <c r="BD248" s="34"/>
      <c r="BE248" s="34"/>
      <c r="BF248" s="116" t="str">
        <f>IF([2]回答表!X48="●",[2]回答表!S417,IF([2]回答表!AA48="●",[2]回答表!S431,""))</f>
        <v>令和</v>
      </c>
      <c r="BG248" s="117"/>
      <c r="BH248" s="117"/>
      <c r="BI248" s="117"/>
      <c r="BJ248" s="116"/>
      <c r="BK248" s="117"/>
      <c r="BL248" s="117"/>
      <c r="BM248" s="117"/>
      <c r="BN248" s="116"/>
      <c r="BO248" s="117"/>
      <c r="BP248" s="117"/>
      <c r="BQ248" s="118"/>
      <c r="BR248" s="37"/>
      <c r="BS248" s="24"/>
    </row>
    <row r="249" spans="1:71" ht="21"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21"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IF([2]回答表!X48="●",[2]回答表!BC419,IF([2]回答表!AA48="●",[2]回答表!BC433,""))</f>
        <v>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21"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f>IF([2]回答表!X48="●",[2]回答表!V417,IF([2]回答表!AA48="●",[2]回答表!V431,""))</f>
        <v>1</v>
      </c>
      <c r="BG251" s="84"/>
      <c r="BH251" s="84"/>
      <c r="BI251" s="84"/>
      <c r="BJ251" s="83">
        <f>IF([2]回答表!X48="●",[2]回答表!V418,IF([2]回答表!AA48="●",[2]回答表!V432,""))</f>
        <v>5</v>
      </c>
      <c r="BK251" s="84"/>
      <c r="BL251" s="84"/>
      <c r="BM251" s="87"/>
      <c r="BN251" s="83">
        <f>IF([2]回答表!X48="●",[2]回答表!V419,IF([2]回答表!AA48="●",[2]回答表!V433,""))</f>
        <v>28</v>
      </c>
      <c r="BO251" s="84"/>
      <c r="BP251" s="84"/>
      <c r="BQ251" s="87"/>
      <c r="BR251" s="37"/>
      <c r="BS251" s="24"/>
    </row>
    <row r="252" spans="1:71" ht="21"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IF([2]回答表!X48="●",[2]回答表!BC420,IF([2]回答表!AA48="●",[2]回答表!BC434,""))</f>
        <v>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21"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IF([2]回答表!X48="●",[2]回答表!BC424,IF([2]回答表!AA48="●",[2]回答表!BC438,""))</f>
        <v>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21" customHeight="1" x14ac:dyDescent="0.4">
      <c r="A254" s="24"/>
      <c r="B254" s="24"/>
      <c r="C254" s="32"/>
      <c r="D254" s="134" t="s">
        <v>26</v>
      </c>
      <c r="E254" s="135"/>
      <c r="F254" s="135"/>
      <c r="G254" s="135"/>
      <c r="H254" s="135"/>
      <c r="I254" s="135"/>
      <c r="J254" s="135"/>
      <c r="K254" s="135"/>
      <c r="L254" s="135"/>
      <c r="M254" s="136"/>
      <c r="N254" s="98" t="str">
        <f>IF([2]回答表!AA48="●","●","")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IF([2]回答表!X48="●",[2]回答表!BC421,IF([2]回答表!AA48="●",[2]回答表!BC435,""))</f>
        <v>●</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21"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21"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IF([2]回答表!X48="●",[2]回答表!BC422,IF([2]回答表!AA48="●",[2]回答表!BC436,""))</f>
        <v>　</v>
      </c>
      <c r="AR256" s="151"/>
      <c r="AS256" s="151"/>
      <c r="AT256" s="151"/>
      <c r="AU256" s="152" t="s">
        <v>79</v>
      </c>
      <c r="AV256" s="153"/>
      <c r="AW256" s="153"/>
      <c r="AX256" s="154"/>
      <c r="AY256" s="158" t="str">
        <f>IF([2]回答表!X48="●",[2]回答表!BC425,IF([2]回答表!AA48="●",[2]回答表!BC439,""))</f>
        <v>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21"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IF([2]回答表!AD48="●","●","")</f>
        <v/>
      </c>
      <c r="O260" s="99"/>
      <c r="P260" s="99"/>
      <c r="Q260" s="100"/>
      <c r="R260" s="38"/>
      <c r="S260" s="38"/>
      <c r="T260" s="38"/>
      <c r="U260" s="107" t="str">
        <f>IF([2]回答表!AD48="●",[2]回答表!B439,"")</f>
        <v/>
      </c>
      <c r="V260" s="108"/>
      <c r="W260" s="108"/>
      <c r="X260" s="108"/>
      <c r="Y260" s="108"/>
      <c r="Z260" s="108"/>
      <c r="AA260" s="108"/>
      <c r="AB260" s="108"/>
      <c r="AC260" s="108"/>
      <c r="AD260" s="108"/>
      <c r="AE260" s="108"/>
      <c r="AF260" s="108"/>
      <c r="AG260" s="108"/>
      <c r="AH260" s="108"/>
      <c r="AI260" s="108"/>
      <c r="AJ260" s="109"/>
      <c r="AK260" s="55"/>
      <c r="AL260" s="55"/>
      <c r="AM260" s="107" t="str">
        <f>IF([2]回答表!AD48="●",[2]回答表!B445,"")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IF([2]回答表!X49="●","●","")</f>
        <v/>
      </c>
      <c r="O271" s="99"/>
      <c r="P271" s="99"/>
      <c r="Q271" s="100"/>
      <c r="R271" s="38"/>
      <c r="S271" s="38"/>
      <c r="T271" s="38"/>
      <c r="U271" s="107" t="str">
        <f>IF([2]回答表!X49="●",[2]回答表!B458,IF([2]回答表!AA49="●",[2]回答表!B475,""))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IF([2]回答表!X49="●",[2]回答表!B468,IF([2]回答表!AA49="●",[2]回答表!B485,""))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IF([2]回答表!X49="●",[2]回答表!G464,IF([2]回答表!AA49="●",[2]回答表!G481,""))</f>
        <v/>
      </c>
      <c r="AN273" s="120"/>
      <c r="AO273" s="120"/>
      <c r="AP273" s="120"/>
      <c r="AQ273" s="120"/>
      <c r="AR273" s="120"/>
      <c r="AS273" s="120"/>
      <c r="AT273" s="121"/>
      <c r="AU273" s="119" t="str">
        <f>IF([2]回答表!X49="●",[2]回答表!G465,IF([2]回答表!AA49="●",[2]回答表!G482,""))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IF([2]回答表!X49="●",[2]回答表!E468,IF([2]回答表!AA49="●",[2]回答表!E485,""))</f>
        <v/>
      </c>
      <c r="BG274" s="84"/>
      <c r="BH274" s="84"/>
      <c r="BI274" s="84"/>
      <c r="BJ274" s="83" t="str">
        <f>IF([2]回答表!X49="●",[2]回答表!E469,IF([2]回答表!AA49="●",[2]回答表!E486,""))</f>
        <v/>
      </c>
      <c r="BK274" s="84"/>
      <c r="BL274" s="84"/>
      <c r="BM274" s="87"/>
      <c r="BN274" s="83" t="str">
        <f>IF([2]回答表!X49="●",[2]回答表!E470,IF([2]回答表!AA49="●",[2]回答表!E487,""))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IF([2]回答表!AD49="●","●","")</f>
        <v/>
      </c>
      <c r="O283" s="99"/>
      <c r="P283" s="99"/>
      <c r="Q283" s="100"/>
      <c r="R283" s="38"/>
      <c r="S283" s="38"/>
      <c r="T283" s="38"/>
      <c r="U283" s="107" t="str">
        <f>IF([2]回答表!AD49="●",[2]回答表!B492,"")</f>
        <v/>
      </c>
      <c r="V283" s="108"/>
      <c r="W283" s="108"/>
      <c r="X283" s="108"/>
      <c r="Y283" s="108"/>
      <c r="Z283" s="108"/>
      <c r="AA283" s="108"/>
      <c r="AB283" s="108"/>
      <c r="AC283" s="108"/>
      <c r="AD283" s="108"/>
      <c r="AE283" s="108"/>
      <c r="AF283" s="108"/>
      <c r="AG283" s="108"/>
      <c r="AH283" s="108"/>
      <c r="AI283" s="108"/>
      <c r="AJ283" s="109"/>
      <c r="AK283" s="49"/>
      <c r="AL283" s="49"/>
      <c r="AM283" s="107" t="str">
        <f>IF([2]回答表!AD49="●",[2]回答表!B498,"")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IF([2]回答表!R50="●",[2]回答表!B511,"")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9E41-B958-469E-A732-ACE22B55DCA5}">
  <sheetPr>
    <pageSetUpPr fitToPage="1"/>
  </sheetPr>
  <dimension ref="A1:CN315"/>
  <sheetViews>
    <sheetView showZeros="0" view="pageBreakPreview" zoomScale="60" zoomScaleNormal="55" workbookViewId="0">
      <selection activeCell="AM139" sqref="AM139:BC14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IF(COUNTIF([4]回答表!K15,"*")&gt;0,[4]回答表!K15,"")</f>
        <v>大館市</v>
      </c>
      <c r="D11" s="299"/>
      <c r="E11" s="299"/>
      <c r="F11" s="299"/>
      <c r="G11" s="299"/>
      <c r="H11" s="299"/>
      <c r="I11" s="299"/>
      <c r="J11" s="299"/>
      <c r="K11" s="299"/>
      <c r="L11" s="299"/>
      <c r="M11" s="299"/>
      <c r="N11" s="299"/>
      <c r="O11" s="299"/>
      <c r="P11" s="299"/>
      <c r="Q11" s="299"/>
      <c r="R11" s="299"/>
      <c r="S11" s="299"/>
      <c r="T11" s="299"/>
      <c r="U11" s="306" t="str">
        <f>IF(COUNTIF([4]回答表!F17,"*")&gt;0,[4]回答表!F17,"")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IF(COUNTIF([4]回答表!W17,"*")&gt;0,[4]回答表!W17,"")</f>
        <v>農業集落排水施設</v>
      </c>
      <c r="AP11" s="301"/>
      <c r="AQ11" s="301"/>
      <c r="AR11" s="301"/>
      <c r="AS11" s="301"/>
      <c r="AT11" s="301"/>
      <c r="AU11" s="301"/>
      <c r="AV11" s="301"/>
      <c r="AW11" s="301"/>
      <c r="AX11" s="301"/>
      <c r="AY11" s="301"/>
      <c r="AZ11" s="301"/>
      <c r="BA11" s="301"/>
      <c r="BB11" s="301"/>
      <c r="BC11" s="301"/>
      <c r="BD11" s="301"/>
      <c r="BE11" s="301"/>
      <c r="BF11" s="302"/>
      <c r="BG11" s="305" t="str">
        <f>IF(COUNTIF([4]回答表!F19,"*")&gt;0,[4]回答表!F19,"")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IF([4]回答表!R43="●","●","")</f>
        <v>●</v>
      </c>
      <c r="E24" s="123"/>
      <c r="F24" s="123"/>
      <c r="G24" s="123"/>
      <c r="H24" s="123"/>
      <c r="I24" s="123"/>
      <c r="J24" s="124"/>
      <c r="K24" s="122" t="str">
        <f>IF([4]回答表!R44="●","●","")</f>
        <v/>
      </c>
      <c r="L24" s="123"/>
      <c r="M24" s="123"/>
      <c r="N24" s="123"/>
      <c r="O24" s="123"/>
      <c r="P24" s="123"/>
      <c r="Q24" s="124"/>
      <c r="R24" s="122" t="str">
        <f>IF([4]回答表!R45="●","●","")</f>
        <v>●</v>
      </c>
      <c r="S24" s="123"/>
      <c r="T24" s="123"/>
      <c r="U24" s="123"/>
      <c r="V24" s="123"/>
      <c r="W24" s="123"/>
      <c r="X24" s="124"/>
      <c r="Y24" s="122" t="str">
        <f>IF([4]回答表!R46="●","●","")</f>
        <v/>
      </c>
      <c r="Z24" s="123"/>
      <c r="AA24" s="123"/>
      <c r="AB24" s="123"/>
      <c r="AC24" s="123"/>
      <c r="AD24" s="123"/>
      <c r="AE24" s="124"/>
      <c r="AF24" s="122" t="str">
        <f>IF([4]回答表!R47="●","●","")</f>
        <v/>
      </c>
      <c r="AG24" s="123"/>
      <c r="AH24" s="123"/>
      <c r="AI24" s="123"/>
      <c r="AJ24" s="123"/>
      <c r="AK24" s="123"/>
      <c r="AL24" s="124"/>
      <c r="AM24" s="122" t="str">
        <f>IF([4]回答表!R48="●","●","")</f>
        <v/>
      </c>
      <c r="AN24" s="123"/>
      <c r="AO24" s="123"/>
      <c r="AP24" s="123"/>
      <c r="AQ24" s="123"/>
      <c r="AR24" s="123"/>
      <c r="AS24" s="124"/>
      <c r="AT24" s="122" t="str">
        <f>IF([4]回答表!R49="●","●","")</f>
        <v/>
      </c>
      <c r="AU24" s="123"/>
      <c r="AV24" s="123"/>
      <c r="AW24" s="123"/>
      <c r="AX24" s="123"/>
      <c r="AY24" s="123"/>
      <c r="AZ24" s="124"/>
      <c r="BA24" s="18"/>
      <c r="BB24" s="119" t="str">
        <f>IF([4]回答表!R50="●","●","")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IF([4]回答表!X43="●","●","")</f>
        <v/>
      </c>
      <c r="O36" s="99"/>
      <c r="P36" s="99"/>
      <c r="Q36" s="100"/>
      <c r="R36" s="38"/>
      <c r="S36" s="38"/>
      <c r="T36" s="38"/>
      <c r="U36" s="107" t="str">
        <f>IF([4]回答表!X43="●",[4]回答表!B59,IF([4]回答表!AA43="●",[4]回答表!B79,""))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IF([4]回答表!X43="●",[4]回答表!S65,IF([4]回答表!AA43="●",[4]回答表!S85,""))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IF([4]回答表!X43="●",[4]回答表!G65,IF([4]回答表!AA43="●",[4]回答表!G85,""))</f>
        <v/>
      </c>
      <c r="AN38" s="120"/>
      <c r="AO38" s="120"/>
      <c r="AP38" s="120"/>
      <c r="AQ38" s="120"/>
      <c r="AR38" s="120"/>
      <c r="AS38" s="120"/>
      <c r="AT38" s="121"/>
      <c r="AU38" s="119" t="str">
        <f>IF([4]回答表!X43="●",[4]回答表!G66,IF([4]回答表!AA43="●",[4]回答表!G86,""))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IF([4]回答表!X43="●",[4]回答表!V65,IF([4]回答表!AA43="●",[4]回答表!V85,""))</f>
        <v/>
      </c>
      <c r="BG39" s="249"/>
      <c r="BH39" s="249"/>
      <c r="BI39" s="250"/>
      <c r="BJ39" s="83" t="str">
        <f>IF([4]回答表!X43="●",[4]回答表!V66,IF([4]回答表!AA43="●",[4]回答表!V86,""))</f>
        <v/>
      </c>
      <c r="BK39" s="249"/>
      <c r="BL39" s="249"/>
      <c r="BM39" s="250"/>
      <c r="BN39" s="83" t="str">
        <f>IF([4]回答表!X43="●",[4]回答表!V67,IF([4]回答表!AA43="●",[4]回答表!V87,""))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IF([4]回答表!X43="●",[4]回答表!O71,IF([4]回答表!AA43="●",[4]回答表!O91,""))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IF([4]回答表!X43="●",[4]回答表!O72,IF([4]回答表!AA43="●",[4]回答表!O92,""))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IF([4]回答表!AA43="●","●","")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IF([4]回答表!X43="●",[4]回答表!O73,IF([4]回答表!AA43="●",[4]回答表!O93,""))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IF([4]回答表!X43="●",[4]回答表!O74,IF([4]回答表!AA43="●",[4]回答表!O94,""))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IF([4]回答表!X43="●",[4]回答表!AG71,IF([4]回答表!AA43="●",[4]回答表!AG91,""))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IF([4]回答表!X43="●",[4]回答表!AG72,IF([4]回答表!AA43="●",[4]回答表!AG92,""))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35.25" customHeight="1" x14ac:dyDescent="0.4">
      <c r="A51" s="24"/>
      <c r="B51" s="24"/>
      <c r="C51" s="32"/>
      <c r="D51" s="89" t="s">
        <v>33</v>
      </c>
      <c r="E51" s="90"/>
      <c r="F51" s="90"/>
      <c r="G51" s="90"/>
      <c r="H51" s="90"/>
      <c r="I51" s="90"/>
      <c r="J51" s="90"/>
      <c r="K51" s="90"/>
      <c r="L51" s="90"/>
      <c r="M51" s="91"/>
      <c r="N51" s="98" t="str">
        <f>IF([4]回答表!AD43="●","●","")</f>
        <v>●</v>
      </c>
      <c r="O51" s="99"/>
      <c r="P51" s="99"/>
      <c r="Q51" s="100"/>
      <c r="R51" s="38"/>
      <c r="S51" s="38"/>
      <c r="T51" s="38"/>
      <c r="U51" s="107" t="str">
        <f>IF([4]回答表!AD43="●",[4]回答表!B99,"")</f>
        <v xml:space="preserve">当市の農集地域、11箇所のうち、10地区について公共接続、残り1地区については、集合処理浄化槽転換を検討している。
</v>
      </c>
      <c r="V51" s="108"/>
      <c r="W51" s="108"/>
      <c r="X51" s="108"/>
      <c r="Y51" s="108"/>
      <c r="Z51" s="108"/>
      <c r="AA51" s="108"/>
      <c r="AB51" s="108"/>
      <c r="AC51" s="108"/>
      <c r="AD51" s="108"/>
      <c r="AE51" s="108"/>
      <c r="AF51" s="108"/>
      <c r="AG51" s="108"/>
      <c r="AH51" s="108"/>
      <c r="AI51" s="108"/>
      <c r="AJ51" s="109"/>
      <c r="AK51" s="55"/>
      <c r="AL51" s="55"/>
      <c r="AM51" s="107" t="str">
        <f>IF([4]回答表!AD43="●",[4]回答表!B104,"")</f>
        <v>10地区について公共接続・処理場廃止としているが、生活排水処理整備構想で、平面地図上だけの検討のため３次元的に接続予定箇所の検討が必要</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35.25"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35.25"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35.25"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IF([4]回答表!X44="●","●","")</f>
        <v/>
      </c>
      <c r="O62" s="99"/>
      <c r="P62" s="99"/>
      <c r="Q62" s="100"/>
      <c r="R62" s="38"/>
      <c r="S62" s="38"/>
      <c r="T62" s="38"/>
      <c r="U62" s="107" t="str">
        <f>IF([4]回答表!X44="●",[4]回答表!B115,IF([4]回答表!AA44="●",[4]回答表!B127,""))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IF([4]回答表!X44="●",[4]回答表!S121,IF([4]回答表!AA44="●",[4]回答表!S133,""))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IF([4]回答表!X44="●",[4]回答表!J121,IF([4]回答表!AA44="●",[4]回答表!J133,""))</f>
        <v/>
      </c>
      <c r="AN65" s="120"/>
      <c r="AO65" s="120"/>
      <c r="AP65" s="120"/>
      <c r="AQ65" s="120"/>
      <c r="AR65" s="120"/>
      <c r="AS65" s="120"/>
      <c r="AT65" s="121"/>
      <c r="AU65" s="119" t="str">
        <f>IF([4]回答表!X44="●",[4]回答表!J122,IF([4]回答表!AA44="●",[4]回答表!J134,""))</f>
        <v/>
      </c>
      <c r="AV65" s="120"/>
      <c r="AW65" s="120"/>
      <c r="AX65" s="120"/>
      <c r="AY65" s="120"/>
      <c r="AZ65" s="120"/>
      <c r="BA65" s="120"/>
      <c r="BB65" s="121"/>
      <c r="BC65" s="39"/>
      <c r="BD65" s="34"/>
      <c r="BE65" s="34"/>
      <c r="BF65" s="83" t="str">
        <f>IF([4]回答表!X44="●",[4]回答表!V121,IF([4]回答表!AA44="●",[4]回答表!V133,""))</f>
        <v/>
      </c>
      <c r="BG65" s="84"/>
      <c r="BH65" s="84"/>
      <c r="BI65" s="84"/>
      <c r="BJ65" s="83" t="str">
        <f>IF([4]回答表!X44="●",[4]回答表!V122,IF([4]回答表!AA44="●",[4]回答表!V134,""))</f>
        <v/>
      </c>
      <c r="BK65" s="84"/>
      <c r="BL65" s="84"/>
      <c r="BM65" s="84"/>
      <c r="BN65" s="83" t="str">
        <f>IF([4]回答表!X44="●",[4]回答表!V123,IF([4]回答表!AA44="●",[4]回答表!V135,""))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IF([4]回答表!AA44="●","●","")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IF([4]回答表!AD44="●","●","")</f>
        <v/>
      </c>
      <c r="O74" s="99"/>
      <c r="P74" s="99"/>
      <c r="Q74" s="100"/>
      <c r="R74" s="38"/>
      <c r="S74" s="38"/>
      <c r="T74" s="38"/>
      <c r="U74" s="107" t="str">
        <f>IF([4]回答表!AD44="●",[4]回答表!B140,"")</f>
        <v/>
      </c>
      <c r="V74" s="108"/>
      <c r="W74" s="108"/>
      <c r="X74" s="108"/>
      <c r="Y74" s="108"/>
      <c r="Z74" s="108"/>
      <c r="AA74" s="108"/>
      <c r="AB74" s="108"/>
      <c r="AC74" s="108"/>
      <c r="AD74" s="108"/>
      <c r="AE74" s="108"/>
      <c r="AF74" s="108"/>
      <c r="AG74" s="108"/>
      <c r="AH74" s="108"/>
      <c r="AI74" s="108"/>
      <c r="AJ74" s="109"/>
      <c r="AK74" s="55"/>
      <c r="AL74" s="55"/>
      <c r="AM74" s="107" t="str">
        <f>IF([4]回答表!AD44="●",[4]回答表!B146,"")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IF([4]回答表!F17="水道事業",IF([4]回答表!X45="●","●",""),"")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IF([4]回答表!F17="水道事業",IF([4]回答表!X45="●",[4]回答表!B158,IF([4]回答表!AA45="●",[4]回答表!B223,"")),"")</f>
        <v/>
      </c>
      <c r="AN86" s="212"/>
      <c r="AO86" s="212"/>
      <c r="AP86" s="212"/>
      <c r="AQ86" s="212"/>
      <c r="AR86" s="212"/>
      <c r="AS86" s="212"/>
      <c r="AT86" s="212"/>
      <c r="AU86" s="212"/>
      <c r="AV86" s="212"/>
      <c r="AW86" s="212"/>
      <c r="AX86" s="212"/>
      <c r="AY86" s="212"/>
      <c r="AZ86" s="212"/>
      <c r="BA86" s="212"/>
      <c r="BB86" s="212"/>
      <c r="BC86" s="213"/>
      <c r="BD86" s="34"/>
      <c r="BE86" s="34"/>
      <c r="BF86" s="116" t="str">
        <f>IF([4]回答表!F17="水道事業",IF([4]回答表!X45="●",[4]回答表!B212,IF([4]回答表!AA45="●",[4]回答表!B278,"")),"")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IF([4]回答表!F17="水道事業",IF([4]回答表!X45="●",[4]回答表!J166,IF([4]回答表!AA45="●",[4]回答表!J231,"")),"")</f>
        <v/>
      </c>
      <c r="V88" s="120"/>
      <c r="W88" s="120"/>
      <c r="X88" s="120"/>
      <c r="Y88" s="120"/>
      <c r="Z88" s="120"/>
      <c r="AA88" s="120"/>
      <c r="AB88" s="121"/>
      <c r="AC88" s="119" t="str">
        <f>IF([4]回答表!F17="水道事業",IF([4]回答表!X45="●",[4]回答表!J173,IF([4]回答表!AA45="●",[4]回答表!J238,"")),"")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IF([4]回答表!F17="水道事業",IF([4]回答表!X45="●",[4]回答表!E212,IF([4]回答表!AA45="●",[4]回答表!E278,"")),"")</f>
        <v/>
      </c>
      <c r="BG89" s="84"/>
      <c r="BH89" s="84"/>
      <c r="BI89" s="84"/>
      <c r="BJ89" s="83" t="str">
        <f>IF([4]回答表!F17="水道事業",IF([4]回答表!X45="●",[4]回答表!E213,IF([4]回答表!AA45="●",[4]回答表!E279,"")),"")</f>
        <v/>
      </c>
      <c r="BK89" s="84"/>
      <c r="BL89" s="84"/>
      <c r="BM89" s="84"/>
      <c r="BN89" s="83" t="str">
        <f>IF([4]回答表!F17="水道事業",IF([4]回答表!X45="●",[4]回答表!E214,IF([4]回答表!AA45="●",[4]回答表!E280,"")),"")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IF([4]回答表!F17="水道事業",IF([4]回答表!AA45="●","●",""),"")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IF([4]回答表!F17="水道事業",IF([4]回答表!X45="●",[4]回答表!J176,IF([4]回答表!AA45="●",[4]回答表!J241,"")),"")</f>
        <v/>
      </c>
      <c r="V93" s="120"/>
      <c r="W93" s="120"/>
      <c r="X93" s="120"/>
      <c r="Y93" s="120"/>
      <c r="Z93" s="120"/>
      <c r="AA93" s="120"/>
      <c r="AB93" s="121"/>
      <c r="AC93" s="119" t="str">
        <f>IF([4]回答表!F17="水道事業",IF([4]回答表!X45="●",[4]回答表!J180,IF([4]回答表!AA45="●",[4]回答表!J245,"")),"")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IF([4]回答表!F17="水道事業",IF([4]回答表!AD45="●","●",""),"")</f>
        <v/>
      </c>
      <c r="O98" s="99"/>
      <c r="P98" s="99"/>
      <c r="Q98" s="100"/>
      <c r="R98" s="38"/>
      <c r="S98" s="38"/>
      <c r="T98" s="38"/>
      <c r="U98" s="107" t="str">
        <f>IF([4]回答表!F17="水道事業",IF([4]回答表!AD45="●",[4]回答表!B289,""),"")</f>
        <v/>
      </c>
      <c r="V98" s="108"/>
      <c r="W98" s="108"/>
      <c r="X98" s="108"/>
      <c r="Y98" s="108"/>
      <c r="Z98" s="108"/>
      <c r="AA98" s="108"/>
      <c r="AB98" s="108"/>
      <c r="AC98" s="108"/>
      <c r="AD98" s="108"/>
      <c r="AE98" s="108"/>
      <c r="AF98" s="108"/>
      <c r="AG98" s="108"/>
      <c r="AH98" s="108"/>
      <c r="AI98" s="108"/>
      <c r="AJ98" s="109"/>
      <c r="AK98" s="55"/>
      <c r="AL98" s="55"/>
      <c r="AM98" s="107" t="str">
        <f>IF([4]回答表!F17="水道事業",IF([4]回答表!AD45="●",[4]回答表!B295,""),"")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IF([4]回答表!F17="簡易水道事業",IF([4]回答表!X45="●",[4]回答表!B158,IF([4]回答表!AA45="●",[4]回答表!B223,"")),"")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IF([4]回答表!F17="簡易水道事業",IF([4]回答表!X45="●",[4]回答表!B212,IF([4]回答表!AA45="●",[4]回答表!B278,"")),"")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IF([4]回答表!F17="簡易水道事業",IF([4]回答表!X45="●","●",""),"")</f>
        <v/>
      </c>
      <c r="O112" s="99"/>
      <c r="P112" s="99"/>
      <c r="Q112" s="100"/>
      <c r="R112" s="38"/>
      <c r="S112" s="38"/>
      <c r="T112" s="38"/>
      <c r="U112" s="119" t="str">
        <f>IF([4]回答表!F17="簡易水道事業",IF([4]回答表!X45="●",[4]回答表!Y185,IF([4]回答表!AA45="●",[4]回答表!Y251,"")),"")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IF([4]回答表!F17="簡易水道事業",IF([4]回答表!X45="●",[4]回答表!E212,IF([4]回答表!AA45="●",[4]回答表!E278,"")),"")</f>
        <v/>
      </c>
      <c r="BG113" s="84"/>
      <c r="BH113" s="84"/>
      <c r="BI113" s="84"/>
      <c r="BJ113" s="83" t="str">
        <f>IF([4]回答表!F17="簡易水道事業",IF([4]回答表!X45="●",[4]回答表!E213,IF([4]回答表!AA45="●",[4]回答表!E279,"")),"")</f>
        <v/>
      </c>
      <c r="BK113" s="84"/>
      <c r="BL113" s="84"/>
      <c r="BM113" s="84"/>
      <c r="BN113" s="83" t="str">
        <f>IF([4]回答表!F17="簡易水道事業",IF([4]回答表!X45="●",[4]回答表!E214,IF([4]回答表!AA45="●",[4]回答表!E280,"")),"")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IF([4]回答表!F17="簡易水道事業",IF([4]回答表!X45="●",[4]回答表!Y186,IF([4]回答表!AA45="●",[4]回答表!Y252,"")),"")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IF([4]回答表!F17="簡易水道事業",IF([4]回答表!AA45="●","●",""),"")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IF([4]回答表!F17="簡易水道事業",IF([4]回答表!X45="●",[4]回答表!Y187,IF([4]回答表!AA45="●",[4]回答表!Y253,"")),"")</f>
        <v/>
      </c>
      <c r="V122" s="120"/>
      <c r="W122" s="120"/>
      <c r="X122" s="120"/>
      <c r="Y122" s="120"/>
      <c r="Z122" s="120"/>
      <c r="AA122" s="120"/>
      <c r="AB122" s="120"/>
      <c r="AC122" s="120"/>
      <c r="AD122" s="120"/>
      <c r="AE122" s="120"/>
      <c r="AF122" s="120"/>
      <c r="AG122" s="120"/>
      <c r="AH122" s="120"/>
      <c r="AI122" s="120"/>
      <c r="AJ122" s="121"/>
      <c r="AK122" s="18"/>
      <c r="AL122" s="18"/>
      <c r="AM122" s="228" t="str">
        <f>IF([4]回答表!F17="簡易水道事業",IF([4]回答表!X45="●",[4]回答表!Y189,IF([4]回答表!AA45="●",[4]回答表!Y255,"")),"")</f>
        <v/>
      </c>
      <c r="AN122" s="228"/>
      <c r="AO122" s="228"/>
      <c r="AP122" s="228"/>
      <c r="AQ122" s="228"/>
      <c r="AR122" s="228"/>
      <c r="AS122" s="228" t="str">
        <f>IF([4]回答表!F17="簡易水道事業",IF([4]回答表!X45="●",[4]回答表!Y190,IF([4]回答表!AA45="●",[4]回答表!Y256,"")),"")</f>
        <v/>
      </c>
      <c r="AT122" s="228"/>
      <c r="AU122" s="228"/>
      <c r="AV122" s="228"/>
      <c r="AW122" s="228"/>
      <c r="AX122" s="228"/>
      <c r="AY122" s="228" t="str">
        <f>IF([4]回答表!F17="簡易水道事業",IF([4]回答表!X45="●",[4]回答表!Y191,IF([4]回答表!AA45="●",[4]回答表!Y257,"")),"")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IF([4]回答表!F17="簡易水道事業",IF([4]回答表!AD45="●","●",""),"")</f>
        <v/>
      </c>
      <c r="O127" s="99"/>
      <c r="P127" s="99"/>
      <c r="Q127" s="100"/>
      <c r="R127" s="38"/>
      <c r="S127" s="38"/>
      <c r="T127" s="38"/>
      <c r="U127" s="107" t="str">
        <f>IF([4]回答表!F17="簡易水道事業",IF([4]回答表!AD45="●",[4]回答表!B289,""),"")</f>
        <v/>
      </c>
      <c r="V127" s="108"/>
      <c r="W127" s="108"/>
      <c r="X127" s="108"/>
      <c r="Y127" s="108"/>
      <c r="Z127" s="108"/>
      <c r="AA127" s="108"/>
      <c r="AB127" s="108"/>
      <c r="AC127" s="108"/>
      <c r="AD127" s="108"/>
      <c r="AE127" s="108"/>
      <c r="AF127" s="108"/>
      <c r="AG127" s="108"/>
      <c r="AH127" s="108"/>
      <c r="AI127" s="108"/>
      <c r="AJ127" s="109"/>
      <c r="AK127" s="55"/>
      <c r="AL127" s="55"/>
      <c r="AM127" s="107" t="str">
        <f>IF([4]回答表!F17="簡易水道事業",IF([4]回答表!AD45="●",[4]回答表!B295,""),"")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IF([4]回答表!F17="下水道事業",IF([4]回答表!X45="●","●",""),"")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IF([4]回答表!F17="下水道事業",IF([4]回答表!X45="●",[4]回答表!B158,IF([4]回答表!AA45="●",[4]回答表!B223,"")),"")</f>
        <v>10地区について公共接続・処理場廃止とし、流域処理場への流入処理を予定・検討している。うち真中地区の統合事業が実施予定で、公共接続により、農業集落排水事業で行う場合に比べて年間3,465千円の管理費減少が見込まれる。他９地区は計画段階。</v>
      </c>
      <c r="AN139" s="212"/>
      <c r="AO139" s="212"/>
      <c r="AP139" s="212"/>
      <c r="AQ139" s="212"/>
      <c r="AR139" s="212"/>
      <c r="AS139" s="212"/>
      <c r="AT139" s="212"/>
      <c r="AU139" s="212"/>
      <c r="AV139" s="212"/>
      <c r="AW139" s="212"/>
      <c r="AX139" s="212"/>
      <c r="AY139" s="212"/>
      <c r="AZ139" s="212"/>
      <c r="BA139" s="212"/>
      <c r="BB139" s="212"/>
      <c r="BC139" s="213"/>
      <c r="BD139" s="34"/>
      <c r="BE139" s="34"/>
      <c r="BF139" s="116" t="str">
        <f>IF([4]回答表!F17="下水道事業",IF([4]回答表!X45="●",[4]回答表!B212,IF([4]回答表!AA45="●",[4]回答表!B278,"")),"")</f>
        <v>令和</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IF([4]回答表!F17="下水道事業",IF([4]回答表!X45="●",[4]回答表!Y193,IF([4]回答表!AA45="●",[4]回答表!Y259,"")),"")</f>
        <v>●</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IF([4]回答表!F17="下水道事業",IF([4]回答表!X45="●",[4]回答表!E212,IF([4]回答表!AA45="●",[4]回答表!E278,"")),"")</f>
        <v>4</v>
      </c>
      <c r="BG142" s="84"/>
      <c r="BH142" s="84"/>
      <c r="BI142" s="84"/>
      <c r="BJ142" s="83">
        <f>IF([4]回答表!F17="下水道事業",IF([4]回答表!X45="●",[4]回答表!E213,IF([4]回答表!AA45="●",[4]回答表!E279,"")),"")</f>
        <v>4</v>
      </c>
      <c r="BK142" s="84"/>
      <c r="BL142" s="84"/>
      <c r="BM142" s="84"/>
      <c r="BN142" s="83">
        <f>IF([4]回答表!F17="下水道事業",IF([4]回答表!X45="●",[4]回答表!E214,IF([4]回答表!AA45="●",[4]回答表!E280,"")),"")</f>
        <v>1</v>
      </c>
      <c r="BO142" s="84"/>
      <c r="BP142" s="84"/>
      <c r="BQ142" s="87"/>
      <c r="BR142" s="37"/>
      <c r="BX142" s="211" t="str">
        <f>IF([4]回答表!AQ20="下水道事業",IF([4]回答表!BI48="○",[4]回答表!AM161,IF([4]回答表!BL48="○",[4]回答表!AM226,"")),"")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IF([4]回答表!F17="下水道事業",IF([4]回答表!X45="●",[4]回答表!Y195,IF([4]回答表!AA45="●",[4]回答表!Y261,"")),"")</f>
        <v>●</v>
      </c>
      <c r="V147" s="120"/>
      <c r="W147" s="120"/>
      <c r="X147" s="120"/>
      <c r="Y147" s="120"/>
      <c r="Z147" s="120"/>
      <c r="AA147" s="120"/>
      <c r="AB147" s="121"/>
      <c r="AC147" s="119" t="str">
        <f>IF([4]回答表!F17="下水道事業",IF([4]回答表!X45="●",[4]回答表!Y196,IF([4]回答表!AA45="●",[4]回答表!Y262,"")),"")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IF([4]回答表!F17="下水道事業",IF([4]回答表!X45="●",[4]回答表!Y198,IF([4]回答表!AA45="●",[4]回答表!Y264,"")),"")</f>
        <v xml:space="preserve"> </v>
      </c>
      <c r="V153" s="120"/>
      <c r="W153" s="120"/>
      <c r="X153" s="120"/>
      <c r="Y153" s="120"/>
      <c r="Z153" s="120"/>
      <c r="AA153" s="120"/>
      <c r="AB153" s="121"/>
      <c r="AC153" s="119" t="str">
        <f>IF([4]回答表!F17="下水道事業",IF([4]回答表!X45="●",[4]回答表!Y199,IF([4]回答表!AA45="●",[4]回答表!Y265,"")),"")</f>
        <v xml:space="preserve"> </v>
      </c>
      <c r="AD153" s="120"/>
      <c r="AE153" s="120"/>
      <c r="AF153" s="120"/>
      <c r="AG153" s="120"/>
      <c r="AH153" s="120"/>
      <c r="AI153" s="120"/>
      <c r="AJ153" s="121"/>
      <c r="AK153" s="119" t="str">
        <f>IF([4]回答表!F17="下水道事業",IF([4]回答表!X45="●",[4]回答表!Y200,IF([4]回答表!AA45="●",[4]回答表!Y266,"")),"")</f>
        <v>●</v>
      </c>
      <c r="AL153" s="120"/>
      <c r="AM153" s="120"/>
      <c r="AN153" s="120"/>
      <c r="AO153" s="120"/>
      <c r="AP153" s="120"/>
      <c r="AQ153" s="120"/>
      <c r="AR153" s="121"/>
      <c r="AS153" s="119" t="str">
        <f>IF([4]回答表!F17="下水道事業",IF([4]回答表!X45="●",[4]回答表!Y201,IF([4]回答表!AA45="●",[4]回答表!Y267,"")),"")</f>
        <v xml:space="preserve"> </v>
      </c>
      <c r="AT153" s="120"/>
      <c r="AU153" s="120"/>
      <c r="AV153" s="120"/>
      <c r="AW153" s="120"/>
      <c r="AX153" s="120"/>
      <c r="AY153" s="120"/>
      <c r="AZ153" s="121"/>
      <c r="BA153" s="119" t="str">
        <f>IF([4]回答表!F17="下水道事業",IF([4]回答表!X45="●",[4]回答表!Y202,IF([4]回答表!AA45="●",[4]回答表!Y268,"")),"")</f>
        <v xml:space="preserve">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IF([4]回答表!F17="下水道事業",IF([4]回答表!AA45="●","●",""),"")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IF([4]回答表!F17="下水道事業",IF([4]回答表!X45="●",[4]回答表!Y207,IF([4]回答表!AA45="●",[4]回答表!Y273,"")),"")</f>
        <v xml:space="preserve"> </v>
      </c>
      <c r="V159" s="120"/>
      <c r="W159" s="120"/>
      <c r="X159" s="120"/>
      <c r="Y159" s="120"/>
      <c r="Z159" s="120"/>
      <c r="AA159" s="120"/>
      <c r="AB159" s="121"/>
      <c r="AC159" s="119" t="str">
        <f>IF([4]回答表!F17="下水道事業",IF([4]回答表!X45="●",[4]回答表!Y208,IF([4]回答表!AA45="●",[4]回答表!Y274,"")),"")</f>
        <v xml:space="preserve"> </v>
      </c>
      <c r="AD159" s="120"/>
      <c r="AE159" s="120"/>
      <c r="AF159" s="120"/>
      <c r="AG159" s="120"/>
      <c r="AH159" s="120"/>
      <c r="AI159" s="120"/>
      <c r="AJ159" s="121"/>
      <c r="AK159" s="119" t="str">
        <f>IF([4]回答表!F17="下水道事業",IF([4]回答表!X45="●",[4]回答表!Y209,IF([4]回答表!AA45="●",[4]回答表!Y275,"")),"")</f>
        <v>●</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IF([4]回答表!F17="下水道事業",IF([4]回答表!AD45="●","●",""),"")</f>
        <v/>
      </c>
      <c r="O164" s="99"/>
      <c r="P164" s="99"/>
      <c r="Q164" s="100"/>
      <c r="R164" s="38"/>
      <c r="S164" s="38"/>
      <c r="T164" s="38"/>
      <c r="U164" s="107" t="str">
        <f>IF([4]回答表!F17="下水道事業",IF([4]回答表!AD45="●",[4]回答表!B289,""),"")</f>
        <v/>
      </c>
      <c r="V164" s="108"/>
      <c r="W164" s="108"/>
      <c r="X164" s="108"/>
      <c r="Y164" s="108"/>
      <c r="Z164" s="108"/>
      <c r="AA164" s="108"/>
      <c r="AB164" s="108"/>
      <c r="AC164" s="108"/>
      <c r="AD164" s="108"/>
      <c r="AE164" s="108"/>
      <c r="AF164" s="108"/>
      <c r="AG164" s="108"/>
      <c r="AH164" s="108"/>
      <c r="AI164" s="108"/>
      <c r="AJ164" s="109"/>
      <c r="AK164" s="55"/>
      <c r="AL164" s="55"/>
      <c r="AM164" s="107" t="str">
        <f>IF([4]回答表!F17="下水道事業",IF([4]回答表!AD45="●",[4]回答表!B295,""),"")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IF([4]回答表!BD17="●",IF([4]回答表!X45="●","●",""),"")</f>
        <v/>
      </c>
      <c r="O176" s="99"/>
      <c r="P176" s="99"/>
      <c r="Q176" s="100"/>
      <c r="R176" s="38"/>
      <c r="S176" s="38"/>
      <c r="T176" s="38"/>
      <c r="U176" s="107" t="str">
        <f>IF([4]回答表!BD17="●",IF([4]回答表!X45="●",[4]回答表!B158,IF([4]回答表!AA45="●",[4]回答表!B223,"")),"")</f>
        <v/>
      </c>
      <c r="V176" s="108"/>
      <c r="W176" s="108"/>
      <c r="X176" s="108"/>
      <c r="Y176" s="108"/>
      <c r="Z176" s="108"/>
      <c r="AA176" s="108"/>
      <c r="AB176" s="108"/>
      <c r="AC176" s="108"/>
      <c r="AD176" s="108"/>
      <c r="AE176" s="108"/>
      <c r="AF176" s="108"/>
      <c r="AG176" s="108"/>
      <c r="AH176" s="108"/>
      <c r="AI176" s="108"/>
      <c r="AJ176" s="109"/>
      <c r="AK176" s="49"/>
      <c r="AL176" s="49"/>
      <c r="AM176" s="116" t="str">
        <f>IF([4]回答表!BD17="●",IF([4]回答表!X45="●",[4]回答表!B212,IF([4]回答表!AA45="●",[4]回答表!B278,"")),"")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IF([4]回答表!BD17="●",IF([4]回答表!X45="●",[4]回答表!E212,IF([4]回答表!AA45="●",[4]回答表!E278,"")),"")</f>
        <v/>
      </c>
      <c r="AN179" s="84"/>
      <c r="AO179" s="84"/>
      <c r="AP179" s="84"/>
      <c r="AQ179" s="83" t="str">
        <f>IF([4]回答表!BD17="●",IF([4]回答表!X45="●",[4]回答表!E213,IF([4]回答表!AA45="●",[4]回答表!E279,"")),"")</f>
        <v/>
      </c>
      <c r="AR179" s="84"/>
      <c r="AS179" s="84"/>
      <c r="AT179" s="84"/>
      <c r="AU179" s="83" t="str">
        <f>IF([4]回答表!BD17="●",IF([4]回答表!X45="●",[4]回答表!E214,IF([4]回答表!AA45="●",[4]回答表!E280,"")),"")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IF([4]回答表!BD17="●",IF([4]回答表!AA45="●","●",""),"")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IF([4]回答表!BD17="●",IF([4]回答表!AD45="●","●",""),"")</f>
        <v/>
      </c>
      <c r="O188" s="99"/>
      <c r="P188" s="99"/>
      <c r="Q188" s="100"/>
      <c r="R188" s="38"/>
      <c r="S188" s="38"/>
      <c r="T188" s="38"/>
      <c r="U188" s="107" t="str">
        <f>IF([4]回答表!BD17="●",IF([4]回答表!AD45="●",[4]回答表!B289,""),"")</f>
        <v/>
      </c>
      <c r="V188" s="108"/>
      <c r="W188" s="108"/>
      <c r="X188" s="108"/>
      <c r="Y188" s="108"/>
      <c r="Z188" s="108"/>
      <c r="AA188" s="108"/>
      <c r="AB188" s="108"/>
      <c r="AC188" s="108"/>
      <c r="AD188" s="108"/>
      <c r="AE188" s="108"/>
      <c r="AF188" s="108"/>
      <c r="AG188" s="108"/>
      <c r="AH188" s="108"/>
      <c r="AI188" s="108"/>
      <c r="AJ188" s="109"/>
      <c r="AK188" s="55"/>
      <c r="AL188" s="55"/>
      <c r="AM188" s="107" t="str">
        <f>IF([4]回答表!BD17="●",IF([4]回答表!AD45="●",[4]回答表!B295,""),"")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IF([4]回答表!X46="●","●","")</f>
        <v/>
      </c>
      <c r="O200" s="99"/>
      <c r="P200" s="99"/>
      <c r="Q200" s="100"/>
      <c r="R200" s="38"/>
      <c r="S200" s="38"/>
      <c r="T200" s="38"/>
      <c r="U200" s="107" t="str">
        <f>IF([4]回答表!X46="●",[4]回答表!B307,IF([4]回答表!AA46="●",[4]回答表!B324,""))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IF([4]回答表!X46="●",[4]回答表!U313,IF([4]回答表!AA46="●",[4]回答表!U330,""))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IF([4]回答表!X46="●",[4]回答表!G313,IF([4]回答表!AA46="●",[4]回答表!G330,""))</f>
        <v/>
      </c>
      <c r="AN203" s="120"/>
      <c r="AO203" s="120"/>
      <c r="AP203" s="120"/>
      <c r="AQ203" s="120"/>
      <c r="AR203" s="120"/>
      <c r="AS203" s="120"/>
      <c r="AT203" s="121"/>
      <c r="AU203" s="119" t="str">
        <f>IF([4]回答表!X46="●",[4]回答表!G314,IF([4]回答表!AA46="●",[4]回答表!G331,""))</f>
        <v/>
      </c>
      <c r="AV203" s="120"/>
      <c r="AW203" s="120"/>
      <c r="AX203" s="120"/>
      <c r="AY203" s="120"/>
      <c r="AZ203" s="120"/>
      <c r="BA203" s="120"/>
      <c r="BB203" s="121"/>
      <c r="BC203" s="39"/>
      <c r="BD203" s="34"/>
      <c r="BE203" s="34"/>
      <c r="BF203" s="83" t="str">
        <f>IF([4]回答表!X46="●",[4]回答表!X313,IF([4]回答表!AA46="●",[4]回答表!X330,""))</f>
        <v/>
      </c>
      <c r="BG203" s="84"/>
      <c r="BH203" s="84"/>
      <c r="BI203" s="84"/>
      <c r="BJ203" s="83" t="str">
        <f>IF([4]回答表!X46="●",[4]回答表!X314,IF([4]回答表!AA46="●",[4]回答表!X331,""))</f>
        <v/>
      </c>
      <c r="BK203" s="84"/>
      <c r="BL203" s="84"/>
      <c r="BM203" s="87"/>
      <c r="BN203" s="83" t="str">
        <f>IF([4]回答表!X46="●",[4]回答表!X315,IF([4]回答表!AA46="●",[4]回答表!X332,""))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IF([4]回答表!AA46="●","●","")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IF([4]回答表!AD46="●","●","")</f>
        <v/>
      </c>
      <c r="O212" s="99"/>
      <c r="P212" s="99"/>
      <c r="Q212" s="100"/>
      <c r="R212" s="38"/>
      <c r="S212" s="38"/>
      <c r="T212" s="38"/>
      <c r="U212" s="107" t="str">
        <f>IF([4]回答表!AD46="●",[4]回答表!B337,"")</f>
        <v/>
      </c>
      <c r="V212" s="108"/>
      <c r="W212" s="108"/>
      <c r="X212" s="108"/>
      <c r="Y212" s="108"/>
      <c r="Z212" s="108"/>
      <c r="AA212" s="108"/>
      <c r="AB212" s="108"/>
      <c r="AC212" s="108"/>
      <c r="AD212" s="108"/>
      <c r="AE212" s="108"/>
      <c r="AF212" s="108"/>
      <c r="AG212" s="108"/>
      <c r="AH212" s="108"/>
      <c r="AI212" s="108"/>
      <c r="AJ212" s="109"/>
      <c r="AK212" s="62"/>
      <c r="AL212" s="62"/>
      <c r="AM212" s="107" t="str">
        <f>IF([4]回答表!AD46="●",[4]回答表!B343,"")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IF([4]回答表!X47="●","●","")</f>
        <v/>
      </c>
      <c r="O224" s="99"/>
      <c r="P224" s="99"/>
      <c r="Q224" s="100"/>
      <c r="R224" s="38"/>
      <c r="S224" s="38"/>
      <c r="T224" s="38"/>
      <c r="U224" s="107" t="str">
        <f>IF([4]回答表!X47="●",[4]回答表!B356,IF([4]回答表!AA47="●",[4]回答表!B379,""))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IF([4]回答表!X47="●",[4]回答表!B362,"")</f>
        <v/>
      </c>
      <c r="AO224" s="182"/>
      <c r="AP224" s="182"/>
      <c r="AQ224" s="182"/>
      <c r="AR224" s="182"/>
      <c r="AS224" s="182"/>
      <c r="AT224" s="182"/>
      <c r="AU224" s="182"/>
      <c r="AV224" s="182"/>
      <c r="AW224" s="182"/>
      <c r="AX224" s="182"/>
      <c r="AY224" s="182"/>
      <c r="AZ224" s="182"/>
      <c r="BA224" s="182"/>
      <c r="BB224" s="183"/>
      <c r="BC224" s="39"/>
      <c r="BD224" s="34"/>
      <c r="BE224" s="34"/>
      <c r="BF224" s="116" t="str">
        <f>IF([4]回答表!X47="●",[4]回答表!B368,IF([4]回答表!AA47="●",[4]回答表!B385,""))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IF([4]回答表!X47="●",[4]回答表!E368,IF([4]回答表!AA47="●",[4]回答表!E385,""))</f>
        <v/>
      </c>
      <c r="BG227" s="84"/>
      <c r="BH227" s="84"/>
      <c r="BI227" s="84"/>
      <c r="BJ227" s="83" t="str">
        <f>IF([4]回答表!X47="●",[4]回答表!E369,IF([4]回答表!AA47="●",[4]回答表!E386,""))</f>
        <v/>
      </c>
      <c r="BK227" s="84"/>
      <c r="BL227" s="84"/>
      <c r="BM227" s="87"/>
      <c r="BN227" s="83" t="str">
        <f>IF([4]回答表!X47="●",[4]回答表!E370,IF([4]回答表!AA47="●",[4]回答表!E387,""))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IF([4]回答表!AA47="●","●","")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IF([4]回答表!AD47="●","●","")</f>
        <v/>
      </c>
      <c r="O236" s="99"/>
      <c r="P236" s="99"/>
      <c r="Q236" s="100"/>
      <c r="R236" s="38"/>
      <c r="S236" s="38"/>
      <c r="T236" s="38"/>
      <c r="U236" s="107" t="str">
        <f>IF([4]回答表!AD47="●",[4]回答表!B392,"")</f>
        <v/>
      </c>
      <c r="V236" s="108"/>
      <c r="W236" s="108"/>
      <c r="X236" s="108"/>
      <c r="Y236" s="108"/>
      <c r="Z236" s="108"/>
      <c r="AA236" s="108"/>
      <c r="AB236" s="108"/>
      <c r="AC236" s="108"/>
      <c r="AD236" s="108"/>
      <c r="AE236" s="108"/>
      <c r="AF236" s="108"/>
      <c r="AG236" s="108"/>
      <c r="AH236" s="108"/>
      <c r="AI236" s="108"/>
      <c r="AJ236" s="109"/>
      <c r="AK236" s="62"/>
      <c r="AL236" s="62"/>
      <c r="AM236" s="107" t="str">
        <f>IF([4]回答表!AD47="●",[4]回答表!B398,"")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IF([4]回答表!X48="●","●","")</f>
        <v/>
      </c>
      <c r="O248" s="99"/>
      <c r="P248" s="99"/>
      <c r="Q248" s="100"/>
      <c r="R248" s="38"/>
      <c r="S248" s="38"/>
      <c r="T248" s="38"/>
      <c r="U248" s="107" t="str">
        <f>IF([4]回答表!X48="●",[4]回答表!B411,IF([4]回答表!AA48="●",[4]回答表!B425,""))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IF([4]回答表!X48="●",[4]回答表!BC418,IF([4]回答表!AA48="●",[4]回答表!BC432,""))</f>
        <v/>
      </c>
      <c r="AR248" s="151"/>
      <c r="AS248" s="151"/>
      <c r="AT248" s="151"/>
      <c r="AU248" s="173" t="s">
        <v>73</v>
      </c>
      <c r="AV248" s="174"/>
      <c r="AW248" s="174"/>
      <c r="AX248" s="175"/>
      <c r="AY248" s="151" t="str">
        <f>IF([4]回答表!X48="●",[4]回答表!BC423,IF([4]回答表!AA48="●",[4]回答表!BC437,""))</f>
        <v/>
      </c>
      <c r="AZ248" s="151"/>
      <c r="BA248" s="151"/>
      <c r="BB248" s="151"/>
      <c r="BC248" s="39"/>
      <c r="BD248" s="34"/>
      <c r="BE248" s="34"/>
      <c r="BF248" s="116" t="str">
        <f>IF([4]回答表!X48="●",[4]回答表!S417,IF([4]回答表!AA48="●",[4]回答表!S431,""))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IF([4]回答表!X48="●",[4]回答表!BC419,IF([4]回答表!AA48="●",[4]回答表!BC433,""))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IF([4]回答表!X48="●",[4]回答表!V417,IF([4]回答表!AA48="●",[4]回答表!V431,""))</f>
        <v/>
      </c>
      <c r="BG251" s="84"/>
      <c r="BH251" s="84"/>
      <c r="BI251" s="84"/>
      <c r="BJ251" s="83" t="str">
        <f>IF([4]回答表!X48="●",[4]回答表!V418,IF([4]回答表!AA48="●",[4]回答表!V432,""))</f>
        <v/>
      </c>
      <c r="BK251" s="84"/>
      <c r="BL251" s="84"/>
      <c r="BM251" s="87"/>
      <c r="BN251" s="83" t="str">
        <f>IF([4]回答表!X48="●",[4]回答表!V419,IF([4]回答表!AA48="●",[4]回答表!V433,""))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IF([4]回答表!X48="●",[4]回答表!BC420,IF([4]回答表!AA48="●",[4]回答表!BC434,""))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IF([4]回答表!X48="●",[4]回答表!BC424,IF([4]回答表!AA48="●",[4]回答表!BC438,""))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IF([4]回答表!AA48="●","●","")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IF([4]回答表!X48="●",[4]回答表!BC421,IF([4]回答表!AA48="●",[4]回答表!BC435,""))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IF([4]回答表!X48="●",[4]回答表!BC422,IF([4]回答表!AA48="●",[4]回答表!BC436,""))</f>
        <v/>
      </c>
      <c r="AR256" s="151"/>
      <c r="AS256" s="151"/>
      <c r="AT256" s="151"/>
      <c r="AU256" s="152" t="s">
        <v>79</v>
      </c>
      <c r="AV256" s="153"/>
      <c r="AW256" s="153"/>
      <c r="AX256" s="154"/>
      <c r="AY256" s="158" t="str">
        <f>IF([4]回答表!X48="●",[4]回答表!BC425,IF([4]回答表!AA48="●",[4]回答表!BC439,""))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IF([4]回答表!AD48="●","●","")</f>
        <v/>
      </c>
      <c r="O260" s="99"/>
      <c r="P260" s="99"/>
      <c r="Q260" s="100"/>
      <c r="R260" s="38"/>
      <c r="S260" s="38"/>
      <c r="T260" s="38"/>
      <c r="U260" s="107" t="str">
        <f>IF([4]回答表!AD48="●",[4]回答表!B439,"")</f>
        <v/>
      </c>
      <c r="V260" s="108"/>
      <c r="W260" s="108"/>
      <c r="X260" s="108"/>
      <c r="Y260" s="108"/>
      <c r="Z260" s="108"/>
      <c r="AA260" s="108"/>
      <c r="AB260" s="108"/>
      <c r="AC260" s="108"/>
      <c r="AD260" s="108"/>
      <c r="AE260" s="108"/>
      <c r="AF260" s="108"/>
      <c r="AG260" s="108"/>
      <c r="AH260" s="108"/>
      <c r="AI260" s="108"/>
      <c r="AJ260" s="109"/>
      <c r="AK260" s="55"/>
      <c r="AL260" s="55"/>
      <c r="AM260" s="107" t="str">
        <f>IF([4]回答表!AD48="●",[4]回答表!B445,"")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IF([4]回答表!X49="●","●","")</f>
        <v/>
      </c>
      <c r="O271" s="99"/>
      <c r="P271" s="99"/>
      <c r="Q271" s="100"/>
      <c r="R271" s="38"/>
      <c r="S271" s="38"/>
      <c r="T271" s="38"/>
      <c r="U271" s="107" t="str">
        <f>IF([4]回答表!X49="●",[4]回答表!B458,IF([4]回答表!AA49="●",[4]回答表!B475,""))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IF([4]回答表!X49="●",[4]回答表!B468,IF([4]回答表!AA49="●",[4]回答表!B485,""))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IF([4]回答表!X49="●",[4]回答表!G464,IF([4]回答表!AA49="●",[4]回答表!G481,""))</f>
        <v/>
      </c>
      <c r="AN273" s="120"/>
      <c r="AO273" s="120"/>
      <c r="AP273" s="120"/>
      <c r="AQ273" s="120"/>
      <c r="AR273" s="120"/>
      <c r="AS273" s="120"/>
      <c r="AT273" s="121"/>
      <c r="AU273" s="119" t="str">
        <f>IF([4]回答表!X49="●",[4]回答表!G465,IF([4]回答表!AA49="●",[4]回答表!G482,""))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IF([4]回答表!X49="●",[4]回答表!E468,IF([4]回答表!AA49="●",[4]回答表!E485,""))</f>
        <v/>
      </c>
      <c r="BG274" s="84"/>
      <c r="BH274" s="84"/>
      <c r="BI274" s="84"/>
      <c r="BJ274" s="83" t="str">
        <f>IF([4]回答表!X49="●",[4]回答表!E469,IF([4]回答表!AA49="●",[4]回答表!E486,""))</f>
        <v/>
      </c>
      <c r="BK274" s="84"/>
      <c r="BL274" s="84"/>
      <c r="BM274" s="87"/>
      <c r="BN274" s="83" t="str">
        <f>IF([4]回答表!X49="●",[4]回答表!E470,IF([4]回答表!AA49="●",[4]回答表!E487,""))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IF([4]回答表!AA49="●","●","")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IF([4]回答表!AD49="●","●","")</f>
        <v/>
      </c>
      <c r="O283" s="99"/>
      <c r="P283" s="99"/>
      <c r="Q283" s="100"/>
      <c r="R283" s="38"/>
      <c r="S283" s="38"/>
      <c r="T283" s="38"/>
      <c r="U283" s="107" t="str">
        <f>IF([4]回答表!AD49="●",[4]回答表!B492,"")</f>
        <v/>
      </c>
      <c r="V283" s="108"/>
      <c r="W283" s="108"/>
      <c r="X283" s="108"/>
      <c r="Y283" s="108"/>
      <c r="Z283" s="108"/>
      <c r="AA283" s="108"/>
      <c r="AB283" s="108"/>
      <c r="AC283" s="108"/>
      <c r="AD283" s="108"/>
      <c r="AE283" s="108"/>
      <c r="AF283" s="108"/>
      <c r="AG283" s="108"/>
      <c r="AH283" s="108"/>
      <c r="AI283" s="108"/>
      <c r="AJ283" s="109"/>
      <c r="AK283" s="49"/>
      <c r="AL283" s="49"/>
      <c r="AM283" s="107" t="str">
        <f>IF([4]回答表!AD49="●",[4]回答表!B498,"")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IF([4]回答表!R50="●",[4]回答表!B511,"")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25E2-E34B-4B21-8BDC-722CA75CD93C}">
  <sheetPr>
    <pageSetUpPr fitToPage="1"/>
  </sheetPr>
  <dimension ref="A1:CN315"/>
  <sheetViews>
    <sheetView showZeros="0" view="pageBreakPreview" zoomScale="60" zoomScaleNormal="55" workbookViewId="0">
      <selection activeCell="A74" sqref="A74:XFD7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IF(COUNTIF([3]回答表!K15,"*")&gt;0,[3]回答表!K15,"")</f>
        <v>大館市</v>
      </c>
      <c r="D11" s="299"/>
      <c r="E11" s="299"/>
      <c r="F11" s="299"/>
      <c r="G11" s="299"/>
      <c r="H11" s="299"/>
      <c r="I11" s="299"/>
      <c r="J11" s="299"/>
      <c r="K11" s="299"/>
      <c r="L11" s="299"/>
      <c r="M11" s="299"/>
      <c r="N11" s="299"/>
      <c r="O11" s="299"/>
      <c r="P11" s="299"/>
      <c r="Q11" s="299"/>
      <c r="R11" s="299"/>
      <c r="S11" s="299"/>
      <c r="T11" s="299"/>
      <c r="U11" s="306" t="str">
        <f>IF(COUNTIF([3]回答表!F17,"*")&gt;0,[3]回答表!F17,"")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IF(COUNTIF([3]回答表!W17,"*")&gt;0,[3]回答表!W17,"")</f>
        <v>特定地域排水処理施設</v>
      </c>
      <c r="AP11" s="301"/>
      <c r="AQ11" s="301"/>
      <c r="AR11" s="301"/>
      <c r="AS11" s="301"/>
      <c r="AT11" s="301"/>
      <c r="AU11" s="301"/>
      <c r="AV11" s="301"/>
      <c r="AW11" s="301"/>
      <c r="AX11" s="301"/>
      <c r="AY11" s="301"/>
      <c r="AZ11" s="301"/>
      <c r="BA11" s="301"/>
      <c r="BB11" s="301"/>
      <c r="BC11" s="301"/>
      <c r="BD11" s="301"/>
      <c r="BE11" s="301"/>
      <c r="BF11" s="302"/>
      <c r="BG11" s="305" t="str">
        <f>IF(COUNTIF([3]回答表!F19,"*")&gt;0,[3]回答表!F19,"")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IF([3]回答表!R43="●","●","")</f>
        <v>●</v>
      </c>
      <c r="E24" s="123"/>
      <c r="F24" s="123"/>
      <c r="G24" s="123"/>
      <c r="H24" s="123"/>
      <c r="I24" s="123"/>
      <c r="J24" s="124"/>
      <c r="K24" s="122" t="str">
        <f>IF([3]回答表!R44="●","●","")</f>
        <v>●</v>
      </c>
      <c r="L24" s="123"/>
      <c r="M24" s="123"/>
      <c r="N24" s="123"/>
      <c r="O24" s="123"/>
      <c r="P24" s="123"/>
      <c r="Q24" s="124"/>
      <c r="R24" s="122" t="str">
        <f>IF([3]回答表!R45="●","●","")</f>
        <v/>
      </c>
      <c r="S24" s="123"/>
      <c r="T24" s="123"/>
      <c r="U24" s="123"/>
      <c r="V24" s="123"/>
      <c r="W24" s="123"/>
      <c r="X24" s="124"/>
      <c r="Y24" s="122" t="str">
        <f>IF([3]回答表!R46="●","●","")</f>
        <v/>
      </c>
      <c r="Z24" s="123"/>
      <c r="AA24" s="123"/>
      <c r="AB24" s="123"/>
      <c r="AC24" s="123"/>
      <c r="AD24" s="123"/>
      <c r="AE24" s="124"/>
      <c r="AF24" s="122" t="str">
        <f>IF([3]回答表!R47="●","●","")</f>
        <v/>
      </c>
      <c r="AG24" s="123"/>
      <c r="AH24" s="123"/>
      <c r="AI24" s="123"/>
      <c r="AJ24" s="123"/>
      <c r="AK24" s="123"/>
      <c r="AL24" s="124"/>
      <c r="AM24" s="122" t="str">
        <f>IF([3]回答表!R48="●","●","")</f>
        <v/>
      </c>
      <c r="AN24" s="123"/>
      <c r="AO24" s="123"/>
      <c r="AP24" s="123"/>
      <c r="AQ24" s="123"/>
      <c r="AR24" s="123"/>
      <c r="AS24" s="124"/>
      <c r="AT24" s="122" t="str">
        <f>IF([3]回答表!R49="●","●","")</f>
        <v/>
      </c>
      <c r="AU24" s="123"/>
      <c r="AV24" s="123"/>
      <c r="AW24" s="123"/>
      <c r="AX24" s="123"/>
      <c r="AY24" s="123"/>
      <c r="AZ24" s="124"/>
      <c r="BA24" s="18"/>
      <c r="BB24" s="119" t="str">
        <f>IF([3]回答表!R50="●","●","")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IF([3]回答表!X43="●","●","")</f>
        <v/>
      </c>
      <c r="O36" s="99"/>
      <c r="P36" s="99"/>
      <c r="Q36" s="100"/>
      <c r="R36" s="38"/>
      <c r="S36" s="38"/>
      <c r="T36" s="38"/>
      <c r="U36" s="107" t="str">
        <f>IF([3]回答表!X43="●",[3]回答表!B59,IF([3]回答表!AA43="●",[3]回答表!B79,""))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IF([3]回答表!X43="●",[3]回答表!S65,IF([3]回答表!AA43="●",[3]回答表!S85,""))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IF([3]回答表!X43="●",[3]回答表!G65,IF([3]回答表!AA43="●",[3]回答表!G85,""))</f>
        <v/>
      </c>
      <c r="AN38" s="120"/>
      <c r="AO38" s="120"/>
      <c r="AP38" s="120"/>
      <c r="AQ38" s="120"/>
      <c r="AR38" s="120"/>
      <c r="AS38" s="120"/>
      <c r="AT38" s="121"/>
      <c r="AU38" s="119" t="str">
        <f>IF([3]回答表!X43="●",[3]回答表!G66,IF([3]回答表!AA43="●",[3]回答表!G86,""))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IF([3]回答表!X43="●",[3]回答表!V65,IF([3]回答表!AA43="●",[3]回答表!V85,""))</f>
        <v/>
      </c>
      <c r="BG39" s="249"/>
      <c r="BH39" s="249"/>
      <c r="BI39" s="250"/>
      <c r="BJ39" s="83" t="str">
        <f>IF([3]回答表!X43="●",[3]回答表!V66,IF([3]回答表!AA43="●",[3]回答表!V86,""))</f>
        <v/>
      </c>
      <c r="BK39" s="249"/>
      <c r="BL39" s="249"/>
      <c r="BM39" s="250"/>
      <c r="BN39" s="83" t="str">
        <f>IF([3]回答表!X43="●",[3]回答表!V67,IF([3]回答表!AA43="●",[3]回答表!V87,""))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IF([3]回答表!X43="●",[3]回答表!O71,IF([3]回答表!AA43="●",[3]回答表!O91,""))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IF([3]回答表!X43="●",[3]回答表!O72,IF([3]回答表!AA43="●",[3]回答表!O92,""))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IF([3]回答表!X43="●",[3]回答表!O73,IF([3]回答表!AA43="●",[3]回答表!O93,""))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IF([3]回答表!X43="●",[3]回答表!O74,IF([3]回答表!AA43="●",[3]回答表!O94,""))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IF([3]回答表!X43="●",[3]回答表!AG71,IF([3]回答表!AA43="●",[3]回答表!AG91,""))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IF([3]回答表!X43="●",[3]回答表!AG72,IF([3]回答表!AA43="●",[3]回答表!AG92,""))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52.5" customHeight="1" x14ac:dyDescent="0.4">
      <c r="A51" s="24"/>
      <c r="B51" s="24"/>
      <c r="C51" s="32"/>
      <c r="D51" s="89" t="s">
        <v>33</v>
      </c>
      <c r="E51" s="90"/>
      <c r="F51" s="90"/>
      <c r="G51" s="90"/>
      <c r="H51" s="90"/>
      <c r="I51" s="90"/>
      <c r="J51" s="90"/>
      <c r="K51" s="90"/>
      <c r="L51" s="90"/>
      <c r="M51" s="91"/>
      <c r="N51" s="98" t="str">
        <f>IF([3]回答表!AD43="●","●","")</f>
        <v>●</v>
      </c>
      <c r="O51" s="99"/>
      <c r="P51" s="99"/>
      <c r="Q51" s="100"/>
      <c r="R51" s="38"/>
      <c r="S51" s="38"/>
      <c r="T51" s="38"/>
      <c r="U51" s="107" t="str">
        <f>IF([3]回答表!AD43="●",[3]回答表!B99,"")</f>
        <v xml:space="preserve">当市の特定地域生活排水処理地域の町設置浄化槽について、合併した際、他の市町は、設置費補助としてきたが1町だけ町設置浄化槽としていたため、農集の廃止が進んできた際、浄化槽を民間譲渡し事業廃止を検討
</v>
      </c>
      <c r="V51" s="108"/>
      <c r="W51" s="108"/>
      <c r="X51" s="108"/>
      <c r="Y51" s="108"/>
      <c r="Z51" s="108"/>
      <c r="AA51" s="108"/>
      <c r="AB51" s="108"/>
      <c r="AC51" s="108"/>
      <c r="AD51" s="108"/>
      <c r="AE51" s="108"/>
      <c r="AF51" s="108"/>
      <c r="AG51" s="108"/>
      <c r="AH51" s="108"/>
      <c r="AI51" s="108"/>
      <c r="AJ51" s="109"/>
      <c r="AK51" s="55"/>
      <c r="AL51" s="55"/>
      <c r="AM51" s="107" t="str">
        <f>IF([3]回答表!AD43="●",[3]回答表!B104,"")</f>
        <v>現在、法定検査実施率９割以上であるが、民間譲渡することにより実施率が低下する。機器の更新の際に残価設定・補助対応について検討が必要</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52.5"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52.5"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52.5"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IF([3]回答表!X44="●","●","")</f>
        <v/>
      </c>
      <c r="O62" s="99"/>
      <c r="P62" s="99"/>
      <c r="Q62" s="100"/>
      <c r="R62" s="38"/>
      <c r="S62" s="38"/>
      <c r="T62" s="38"/>
      <c r="U62" s="107" t="str">
        <f>IF([3]回答表!X44="●",[3]回答表!B115,IF([3]回答表!AA44="●",[3]回答表!B127,""))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IF([3]回答表!X44="●",[3]回答表!S121,IF([3]回答表!AA44="●",[3]回答表!S133,""))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IF([3]回答表!X44="●",[3]回答表!J121,IF([3]回答表!AA44="●",[3]回答表!J133,""))</f>
        <v/>
      </c>
      <c r="AN65" s="120"/>
      <c r="AO65" s="120"/>
      <c r="AP65" s="120"/>
      <c r="AQ65" s="120"/>
      <c r="AR65" s="120"/>
      <c r="AS65" s="120"/>
      <c r="AT65" s="121"/>
      <c r="AU65" s="119" t="str">
        <f>IF([3]回答表!X44="●",[3]回答表!J122,IF([3]回答表!AA44="●",[3]回答表!J134,""))</f>
        <v/>
      </c>
      <c r="AV65" s="120"/>
      <c r="AW65" s="120"/>
      <c r="AX65" s="120"/>
      <c r="AY65" s="120"/>
      <c r="AZ65" s="120"/>
      <c r="BA65" s="120"/>
      <c r="BB65" s="121"/>
      <c r="BC65" s="39"/>
      <c r="BD65" s="34"/>
      <c r="BE65" s="34"/>
      <c r="BF65" s="83" t="str">
        <f>IF([3]回答表!X44="●",[3]回答表!V121,IF([3]回答表!AA44="●",[3]回答表!V133,""))</f>
        <v/>
      </c>
      <c r="BG65" s="84"/>
      <c r="BH65" s="84"/>
      <c r="BI65" s="84"/>
      <c r="BJ65" s="83" t="str">
        <f>IF([3]回答表!X44="●",[3]回答表!V122,IF([3]回答表!AA44="●",[3]回答表!V134,""))</f>
        <v/>
      </c>
      <c r="BK65" s="84"/>
      <c r="BL65" s="84"/>
      <c r="BM65" s="84"/>
      <c r="BN65" s="83" t="str">
        <f>IF([3]回答表!X44="●",[3]回答表!V123,IF([3]回答表!AA44="●",[3]回答表!V135,""))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45" customHeight="1" x14ac:dyDescent="0.4">
      <c r="C74" s="32"/>
      <c r="D74" s="89" t="s">
        <v>33</v>
      </c>
      <c r="E74" s="90"/>
      <c r="F74" s="90"/>
      <c r="G74" s="90"/>
      <c r="H74" s="90"/>
      <c r="I74" s="90"/>
      <c r="J74" s="90"/>
      <c r="K74" s="90"/>
      <c r="L74" s="90"/>
      <c r="M74" s="91"/>
      <c r="N74" s="98" t="str">
        <f>IF([3]回答表!AD44="●","●","")</f>
        <v>●</v>
      </c>
      <c r="O74" s="99"/>
      <c r="P74" s="99"/>
      <c r="Q74" s="100"/>
      <c r="R74" s="38"/>
      <c r="S74" s="38"/>
      <c r="T74" s="38"/>
      <c r="U74" s="107" t="str">
        <f>IF([3]回答表!AD44="●",[3]回答表!B140,"")</f>
        <v>当市の特定地域生活排水処理地域の町設置浄化槽について、合併した際、他の市町は、設置費補助としてきたが1町だけ町設置浄化槽としていたため、農集の廃止が進んできた際、浄化槽の民間譲渡を検討</v>
      </c>
      <c r="V74" s="108"/>
      <c r="W74" s="108"/>
      <c r="X74" s="108"/>
      <c r="Y74" s="108"/>
      <c r="Z74" s="108"/>
      <c r="AA74" s="108"/>
      <c r="AB74" s="108"/>
      <c r="AC74" s="108"/>
      <c r="AD74" s="108"/>
      <c r="AE74" s="108"/>
      <c r="AF74" s="108"/>
      <c r="AG74" s="108"/>
      <c r="AH74" s="108"/>
      <c r="AI74" s="108"/>
      <c r="AJ74" s="109"/>
      <c r="AK74" s="55"/>
      <c r="AL74" s="55"/>
      <c r="AM74" s="107" t="str">
        <f>IF([3]回答表!AD44="●",[3]回答表!B146,"")</f>
        <v>現在、法定検査実施率９割以上であるが、民間譲渡することにより実施率が低下する。機器の更新の際に残価設定・補助対応について検討が必要</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45"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45"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45"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IF([3]回答表!F17="水道事業",IF([3]回答表!X45="●","●",""),"")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IF([3]回答表!F17="水道事業",IF([3]回答表!X45="●",[3]回答表!B158,IF([3]回答表!AA45="●",[3]回答表!B223,"")),"")</f>
        <v/>
      </c>
      <c r="AN86" s="212"/>
      <c r="AO86" s="212"/>
      <c r="AP86" s="212"/>
      <c r="AQ86" s="212"/>
      <c r="AR86" s="212"/>
      <c r="AS86" s="212"/>
      <c r="AT86" s="212"/>
      <c r="AU86" s="212"/>
      <c r="AV86" s="212"/>
      <c r="AW86" s="212"/>
      <c r="AX86" s="212"/>
      <c r="AY86" s="212"/>
      <c r="AZ86" s="212"/>
      <c r="BA86" s="212"/>
      <c r="BB86" s="212"/>
      <c r="BC86" s="213"/>
      <c r="BD86" s="34"/>
      <c r="BE86" s="34"/>
      <c r="BF86" s="116" t="str">
        <f>IF([3]回答表!F17="水道事業",IF([3]回答表!X45="●",[3]回答表!B212,IF([3]回答表!AA45="●",[3]回答表!B278,"")),"")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IF([3]回答表!F17="水道事業",IF([3]回答表!X45="●",[3]回答表!J166,IF([3]回答表!AA45="●",[3]回答表!J231,"")),"")</f>
        <v/>
      </c>
      <c r="V88" s="120"/>
      <c r="W88" s="120"/>
      <c r="X88" s="120"/>
      <c r="Y88" s="120"/>
      <c r="Z88" s="120"/>
      <c r="AA88" s="120"/>
      <c r="AB88" s="121"/>
      <c r="AC88" s="119" t="str">
        <f>IF([3]回答表!F17="水道事業",IF([3]回答表!X45="●",[3]回答表!J173,IF([3]回答表!AA45="●",[3]回答表!J238,"")),"")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IF([3]回答表!F17="水道事業",IF([3]回答表!X45="●",[3]回答表!E212,IF([3]回答表!AA45="●",[3]回答表!E278,"")),"")</f>
        <v/>
      </c>
      <c r="BG89" s="84"/>
      <c r="BH89" s="84"/>
      <c r="BI89" s="84"/>
      <c r="BJ89" s="83" t="str">
        <f>IF([3]回答表!F17="水道事業",IF([3]回答表!X45="●",[3]回答表!E213,IF([3]回答表!AA45="●",[3]回答表!E279,"")),"")</f>
        <v/>
      </c>
      <c r="BK89" s="84"/>
      <c r="BL89" s="84"/>
      <c r="BM89" s="84"/>
      <c r="BN89" s="83" t="str">
        <f>IF([3]回答表!F17="水道事業",IF([3]回答表!X45="●",[3]回答表!E214,IF([3]回答表!AA45="●",[3]回答表!E280,"")),"")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IF([3]回答表!F17="水道事業",IF([3]回答表!AA45="●","●",""),"")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IF([3]回答表!F17="水道事業",IF([3]回答表!X45="●",[3]回答表!J176,IF([3]回答表!AA45="●",[3]回答表!J241,"")),"")</f>
        <v/>
      </c>
      <c r="V93" s="120"/>
      <c r="W93" s="120"/>
      <c r="X93" s="120"/>
      <c r="Y93" s="120"/>
      <c r="Z93" s="120"/>
      <c r="AA93" s="120"/>
      <c r="AB93" s="121"/>
      <c r="AC93" s="119" t="str">
        <f>IF([3]回答表!F17="水道事業",IF([3]回答表!X45="●",[3]回答表!J180,IF([3]回答表!AA45="●",[3]回答表!J245,"")),"")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IF([3]回答表!F17="水道事業",IF([3]回答表!AD45="●","●",""),"")</f>
        <v/>
      </c>
      <c r="O98" s="99"/>
      <c r="P98" s="99"/>
      <c r="Q98" s="100"/>
      <c r="R98" s="38"/>
      <c r="S98" s="38"/>
      <c r="T98" s="38"/>
      <c r="U98" s="107" t="str">
        <f>IF([3]回答表!F17="水道事業",IF([3]回答表!AD45="●",[3]回答表!B289,""),"")</f>
        <v/>
      </c>
      <c r="V98" s="108"/>
      <c r="W98" s="108"/>
      <c r="X98" s="108"/>
      <c r="Y98" s="108"/>
      <c r="Z98" s="108"/>
      <c r="AA98" s="108"/>
      <c r="AB98" s="108"/>
      <c r="AC98" s="108"/>
      <c r="AD98" s="108"/>
      <c r="AE98" s="108"/>
      <c r="AF98" s="108"/>
      <c r="AG98" s="108"/>
      <c r="AH98" s="108"/>
      <c r="AI98" s="108"/>
      <c r="AJ98" s="109"/>
      <c r="AK98" s="55"/>
      <c r="AL98" s="55"/>
      <c r="AM98" s="107" t="str">
        <f>IF([3]回答表!F17="水道事業",IF([3]回答表!AD45="●",[3]回答表!B295,""),"")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IF([3]回答表!F17="簡易水道事業",IF([3]回答表!X45="●",[3]回答表!B158,IF([3]回答表!AA45="●",[3]回答表!B223,"")),"")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IF([3]回答表!F17="簡易水道事業",IF([3]回答表!X45="●",[3]回答表!B212,IF([3]回答表!AA45="●",[3]回答表!B278,"")),"")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IF([3]回答表!F17="簡易水道事業",IF([3]回答表!X45="●","●",""),"")</f>
        <v/>
      </c>
      <c r="O112" s="99"/>
      <c r="P112" s="99"/>
      <c r="Q112" s="100"/>
      <c r="R112" s="38"/>
      <c r="S112" s="38"/>
      <c r="T112" s="38"/>
      <c r="U112" s="119" t="str">
        <f>IF([3]回答表!F17="簡易水道事業",IF([3]回答表!X45="●",[3]回答表!Y185,IF([3]回答表!AA45="●",[3]回答表!Y251,"")),"")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IF([3]回答表!F17="簡易水道事業",IF([3]回答表!X45="●",[3]回答表!E212,IF([3]回答表!AA45="●",[3]回答表!E278,"")),"")</f>
        <v/>
      </c>
      <c r="BG113" s="84"/>
      <c r="BH113" s="84"/>
      <c r="BI113" s="84"/>
      <c r="BJ113" s="83" t="str">
        <f>IF([3]回答表!F17="簡易水道事業",IF([3]回答表!X45="●",[3]回答表!E213,IF([3]回答表!AA45="●",[3]回答表!E279,"")),"")</f>
        <v/>
      </c>
      <c r="BK113" s="84"/>
      <c r="BL113" s="84"/>
      <c r="BM113" s="84"/>
      <c r="BN113" s="83" t="str">
        <f>IF([3]回答表!F17="簡易水道事業",IF([3]回答表!X45="●",[3]回答表!E214,IF([3]回答表!AA45="●",[3]回答表!E280,"")),"")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IF([3]回答表!F17="簡易水道事業",IF([3]回答表!X45="●",[3]回答表!Y186,IF([3]回答表!AA45="●",[3]回答表!Y252,"")),"")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IF([3]回答表!F17="簡易水道事業",IF([3]回答表!AA45="●","●",""),"")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IF([3]回答表!F17="簡易水道事業",IF([3]回答表!X45="●",[3]回答表!Y187,IF([3]回答表!AA45="●",[3]回答表!Y253,"")),"")</f>
        <v/>
      </c>
      <c r="V122" s="120"/>
      <c r="W122" s="120"/>
      <c r="X122" s="120"/>
      <c r="Y122" s="120"/>
      <c r="Z122" s="120"/>
      <c r="AA122" s="120"/>
      <c r="AB122" s="120"/>
      <c r="AC122" s="120"/>
      <c r="AD122" s="120"/>
      <c r="AE122" s="120"/>
      <c r="AF122" s="120"/>
      <c r="AG122" s="120"/>
      <c r="AH122" s="120"/>
      <c r="AI122" s="120"/>
      <c r="AJ122" s="121"/>
      <c r="AK122" s="18"/>
      <c r="AL122" s="18"/>
      <c r="AM122" s="228" t="str">
        <f>IF([3]回答表!F17="簡易水道事業",IF([3]回答表!X45="●",[3]回答表!Y189,IF([3]回答表!AA45="●",[3]回答表!Y255,"")),"")</f>
        <v/>
      </c>
      <c r="AN122" s="228"/>
      <c r="AO122" s="228"/>
      <c r="AP122" s="228"/>
      <c r="AQ122" s="228"/>
      <c r="AR122" s="228"/>
      <c r="AS122" s="228" t="str">
        <f>IF([3]回答表!F17="簡易水道事業",IF([3]回答表!X45="●",[3]回答表!Y190,IF([3]回答表!AA45="●",[3]回答表!Y256,"")),"")</f>
        <v/>
      </c>
      <c r="AT122" s="228"/>
      <c r="AU122" s="228"/>
      <c r="AV122" s="228"/>
      <c r="AW122" s="228"/>
      <c r="AX122" s="228"/>
      <c r="AY122" s="228" t="str">
        <f>IF([3]回答表!F17="簡易水道事業",IF([3]回答表!X45="●",[3]回答表!Y191,IF([3]回答表!AA45="●",[3]回答表!Y257,"")),"")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IF([3]回答表!F17="簡易水道事業",IF([3]回答表!AD45="●","●",""),"")</f>
        <v/>
      </c>
      <c r="O127" s="99"/>
      <c r="P127" s="99"/>
      <c r="Q127" s="100"/>
      <c r="R127" s="38"/>
      <c r="S127" s="38"/>
      <c r="T127" s="38"/>
      <c r="U127" s="107" t="str">
        <f>IF([3]回答表!F17="簡易水道事業",IF([3]回答表!AD45="●",[3]回答表!B289,""),"")</f>
        <v/>
      </c>
      <c r="V127" s="108"/>
      <c r="W127" s="108"/>
      <c r="X127" s="108"/>
      <c r="Y127" s="108"/>
      <c r="Z127" s="108"/>
      <c r="AA127" s="108"/>
      <c r="AB127" s="108"/>
      <c r="AC127" s="108"/>
      <c r="AD127" s="108"/>
      <c r="AE127" s="108"/>
      <c r="AF127" s="108"/>
      <c r="AG127" s="108"/>
      <c r="AH127" s="108"/>
      <c r="AI127" s="108"/>
      <c r="AJ127" s="109"/>
      <c r="AK127" s="55"/>
      <c r="AL127" s="55"/>
      <c r="AM127" s="107" t="str">
        <f>IF([3]回答表!F17="簡易水道事業",IF([3]回答表!AD45="●",[3]回答表!B295,""),"")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IF([3]回答表!F17="下水道事業",IF([3]回答表!X45="●","●",""),"")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IF([3]回答表!F17="下水道事業",IF([3]回答表!X45="●",[3]回答表!B158,IF([3]回答表!AA45="●",[3]回答表!B223,"")),"")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IF([3]回答表!F17="下水道事業",IF([3]回答表!X45="●",[3]回答表!B212,IF([3]回答表!AA45="●",[3]回答表!B278,"")),"")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IF([3]回答表!F17="下水道事業",IF([3]回答表!X45="●",[3]回答表!Y193,IF([3]回答表!AA45="●",[3]回答表!Y259,"")),"")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IF([3]回答表!F17="下水道事業",IF([3]回答表!X45="●",[3]回答表!E212,IF([3]回答表!AA45="●",[3]回答表!E278,"")),"")</f>
        <v/>
      </c>
      <c r="BG142" s="84"/>
      <c r="BH142" s="84"/>
      <c r="BI142" s="84"/>
      <c r="BJ142" s="83" t="str">
        <f>IF([3]回答表!F17="下水道事業",IF([3]回答表!X45="●",[3]回答表!E213,IF([3]回答表!AA45="●",[3]回答表!E279,"")),"")</f>
        <v/>
      </c>
      <c r="BK142" s="84"/>
      <c r="BL142" s="84"/>
      <c r="BM142" s="84"/>
      <c r="BN142" s="83" t="str">
        <f>IF([3]回答表!F17="下水道事業",IF([3]回答表!X45="●",[3]回答表!E214,IF([3]回答表!AA45="●",[3]回答表!E280,"")),"")</f>
        <v/>
      </c>
      <c r="BO142" s="84"/>
      <c r="BP142" s="84"/>
      <c r="BQ142" s="87"/>
      <c r="BR142" s="37"/>
      <c r="BX142" s="211" t="str">
        <f>IF([3]回答表!AQ20="下水道事業",IF([3]回答表!BI48="○",[3]回答表!AM161,IF([3]回答表!BL48="○",[3]回答表!AM226,"")),"")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IF([3]回答表!F17="下水道事業",IF([3]回答表!X45="●",[3]回答表!Y195,IF([3]回答表!AA45="●",[3]回答表!Y261,"")),"")</f>
        <v/>
      </c>
      <c r="V147" s="120"/>
      <c r="W147" s="120"/>
      <c r="X147" s="120"/>
      <c r="Y147" s="120"/>
      <c r="Z147" s="120"/>
      <c r="AA147" s="120"/>
      <c r="AB147" s="121"/>
      <c r="AC147" s="119" t="str">
        <f>IF([3]回答表!F17="下水道事業",IF([3]回答表!X45="●",[3]回答表!Y196,IF([3]回答表!AA45="●",[3]回答表!Y262,"")),"")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IF([3]回答表!F17="下水道事業",IF([3]回答表!X45="●",[3]回答表!Y198,IF([3]回答表!AA45="●",[3]回答表!Y264,"")),"")</f>
        <v/>
      </c>
      <c r="V153" s="120"/>
      <c r="W153" s="120"/>
      <c r="X153" s="120"/>
      <c r="Y153" s="120"/>
      <c r="Z153" s="120"/>
      <c r="AA153" s="120"/>
      <c r="AB153" s="121"/>
      <c r="AC153" s="119" t="str">
        <f>IF([3]回答表!F17="下水道事業",IF([3]回答表!X45="●",[3]回答表!Y199,IF([3]回答表!AA45="●",[3]回答表!Y265,"")),"")</f>
        <v/>
      </c>
      <c r="AD153" s="120"/>
      <c r="AE153" s="120"/>
      <c r="AF153" s="120"/>
      <c r="AG153" s="120"/>
      <c r="AH153" s="120"/>
      <c r="AI153" s="120"/>
      <c r="AJ153" s="121"/>
      <c r="AK153" s="119" t="str">
        <f>IF([3]回答表!F17="下水道事業",IF([3]回答表!X45="●",[3]回答表!Y200,IF([3]回答表!AA45="●",[3]回答表!Y266,"")),"")</f>
        <v/>
      </c>
      <c r="AL153" s="120"/>
      <c r="AM153" s="120"/>
      <c r="AN153" s="120"/>
      <c r="AO153" s="120"/>
      <c r="AP153" s="120"/>
      <c r="AQ153" s="120"/>
      <c r="AR153" s="121"/>
      <c r="AS153" s="119" t="str">
        <f>IF([3]回答表!F17="下水道事業",IF([3]回答表!X45="●",[3]回答表!Y201,IF([3]回答表!AA45="●",[3]回答表!Y267,"")),"")</f>
        <v/>
      </c>
      <c r="AT153" s="120"/>
      <c r="AU153" s="120"/>
      <c r="AV153" s="120"/>
      <c r="AW153" s="120"/>
      <c r="AX153" s="120"/>
      <c r="AY153" s="120"/>
      <c r="AZ153" s="121"/>
      <c r="BA153" s="119" t="str">
        <f>IF([3]回答表!F17="下水道事業",IF([3]回答表!X45="●",[3]回答表!Y202,IF([3]回答表!AA45="●",[3]回答表!Y268,"")),"")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IF([3]回答表!F17="下水道事業",IF([3]回答表!AA45="●","●",""),"")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IF([3]回答表!F17="下水道事業",IF([3]回答表!X45="●",[3]回答表!Y207,IF([3]回答表!AA45="●",[3]回答表!Y273,"")),"")</f>
        <v/>
      </c>
      <c r="V159" s="120"/>
      <c r="W159" s="120"/>
      <c r="X159" s="120"/>
      <c r="Y159" s="120"/>
      <c r="Z159" s="120"/>
      <c r="AA159" s="120"/>
      <c r="AB159" s="121"/>
      <c r="AC159" s="119" t="str">
        <f>IF([3]回答表!F17="下水道事業",IF([3]回答表!X45="●",[3]回答表!Y208,IF([3]回答表!AA45="●",[3]回答表!Y274,"")),"")</f>
        <v/>
      </c>
      <c r="AD159" s="120"/>
      <c r="AE159" s="120"/>
      <c r="AF159" s="120"/>
      <c r="AG159" s="120"/>
      <c r="AH159" s="120"/>
      <c r="AI159" s="120"/>
      <c r="AJ159" s="121"/>
      <c r="AK159" s="119" t="str">
        <f>IF([3]回答表!F17="下水道事業",IF([3]回答表!X45="●",[3]回答表!Y209,IF([3]回答表!AA45="●",[3]回答表!Y275,"")),"")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IF([3]回答表!F17="下水道事業",IF([3]回答表!AD45="●","●",""),"")</f>
        <v/>
      </c>
      <c r="O164" s="99"/>
      <c r="P164" s="99"/>
      <c r="Q164" s="100"/>
      <c r="R164" s="38"/>
      <c r="S164" s="38"/>
      <c r="T164" s="38"/>
      <c r="U164" s="107" t="str">
        <f>IF([3]回答表!F17="下水道事業",IF([3]回答表!AD45="●",[3]回答表!B289,""),"")</f>
        <v/>
      </c>
      <c r="V164" s="108"/>
      <c r="W164" s="108"/>
      <c r="X164" s="108"/>
      <c r="Y164" s="108"/>
      <c r="Z164" s="108"/>
      <c r="AA164" s="108"/>
      <c r="AB164" s="108"/>
      <c r="AC164" s="108"/>
      <c r="AD164" s="108"/>
      <c r="AE164" s="108"/>
      <c r="AF164" s="108"/>
      <c r="AG164" s="108"/>
      <c r="AH164" s="108"/>
      <c r="AI164" s="108"/>
      <c r="AJ164" s="109"/>
      <c r="AK164" s="55"/>
      <c r="AL164" s="55"/>
      <c r="AM164" s="107" t="str">
        <f>IF([3]回答表!F17="下水道事業",IF([3]回答表!AD45="●",[3]回答表!B295,""),"")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IF([3]回答表!BD17="●",IF([3]回答表!X45="●","●",""),"")</f>
        <v/>
      </c>
      <c r="O176" s="99"/>
      <c r="P176" s="99"/>
      <c r="Q176" s="100"/>
      <c r="R176" s="38"/>
      <c r="S176" s="38"/>
      <c r="T176" s="38"/>
      <c r="U176" s="107" t="str">
        <f>IF([3]回答表!BD17="●",IF([3]回答表!X45="●",[3]回答表!B158,IF([3]回答表!AA45="●",[3]回答表!B223,"")),"")</f>
        <v/>
      </c>
      <c r="V176" s="108"/>
      <c r="W176" s="108"/>
      <c r="X176" s="108"/>
      <c r="Y176" s="108"/>
      <c r="Z176" s="108"/>
      <c r="AA176" s="108"/>
      <c r="AB176" s="108"/>
      <c r="AC176" s="108"/>
      <c r="AD176" s="108"/>
      <c r="AE176" s="108"/>
      <c r="AF176" s="108"/>
      <c r="AG176" s="108"/>
      <c r="AH176" s="108"/>
      <c r="AI176" s="108"/>
      <c r="AJ176" s="109"/>
      <c r="AK176" s="49"/>
      <c r="AL176" s="49"/>
      <c r="AM176" s="116" t="str">
        <f>IF([3]回答表!BD17="●",IF([3]回答表!X45="●",[3]回答表!B212,IF([3]回答表!AA45="●",[3]回答表!B278,"")),"")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IF([3]回答表!BD17="●",IF([3]回答表!X45="●",[3]回答表!E212,IF([3]回答表!AA45="●",[3]回答表!E278,"")),"")</f>
        <v/>
      </c>
      <c r="AN179" s="84"/>
      <c r="AO179" s="84"/>
      <c r="AP179" s="84"/>
      <c r="AQ179" s="83" t="str">
        <f>IF([3]回答表!BD17="●",IF([3]回答表!X45="●",[3]回答表!E213,IF([3]回答表!AA45="●",[3]回答表!E279,"")),"")</f>
        <v/>
      </c>
      <c r="AR179" s="84"/>
      <c r="AS179" s="84"/>
      <c r="AT179" s="84"/>
      <c r="AU179" s="83" t="str">
        <f>IF([3]回答表!BD17="●",IF([3]回答表!X45="●",[3]回答表!E214,IF([3]回答表!AA45="●",[3]回答表!E280,"")),"")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IF([3]回答表!BD17="●",IF([3]回答表!AA45="●","●",""),"")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IF([3]回答表!BD17="●",IF([3]回答表!AD45="●","●",""),"")</f>
        <v/>
      </c>
      <c r="O188" s="99"/>
      <c r="P188" s="99"/>
      <c r="Q188" s="100"/>
      <c r="R188" s="38"/>
      <c r="S188" s="38"/>
      <c r="T188" s="38"/>
      <c r="U188" s="107" t="str">
        <f>IF([3]回答表!BD17="●",IF([3]回答表!AD45="●",[3]回答表!B289,""),"")</f>
        <v/>
      </c>
      <c r="V188" s="108"/>
      <c r="W188" s="108"/>
      <c r="X188" s="108"/>
      <c r="Y188" s="108"/>
      <c r="Z188" s="108"/>
      <c r="AA188" s="108"/>
      <c r="AB188" s="108"/>
      <c r="AC188" s="108"/>
      <c r="AD188" s="108"/>
      <c r="AE188" s="108"/>
      <c r="AF188" s="108"/>
      <c r="AG188" s="108"/>
      <c r="AH188" s="108"/>
      <c r="AI188" s="108"/>
      <c r="AJ188" s="109"/>
      <c r="AK188" s="55"/>
      <c r="AL188" s="55"/>
      <c r="AM188" s="107" t="str">
        <f>IF([3]回答表!BD17="●",IF([3]回答表!AD45="●",[3]回答表!B295,""),"")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IF([3]回答表!X46="●","●","")</f>
        <v/>
      </c>
      <c r="O200" s="99"/>
      <c r="P200" s="99"/>
      <c r="Q200" s="100"/>
      <c r="R200" s="38"/>
      <c r="S200" s="38"/>
      <c r="T200" s="38"/>
      <c r="U200" s="107" t="str">
        <f>IF([3]回答表!X46="●",[3]回答表!B307,IF([3]回答表!AA46="●",[3]回答表!B324,""))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IF([3]回答表!X46="●",[3]回答表!U313,IF([3]回答表!AA46="●",[3]回答表!U330,""))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IF([3]回答表!X46="●",[3]回答表!G313,IF([3]回答表!AA46="●",[3]回答表!G330,""))</f>
        <v/>
      </c>
      <c r="AN203" s="120"/>
      <c r="AO203" s="120"/>
      <c r="AP203" s="120"/>
      <c r="AQ203" s="120"/>
      <c r="AR203" s="120"/>
      <c r="AS203" s="120"/>
      <c r="AT203" s="121"/>
      <c r="AU203" s="119" t="str">
        <f>IF([3]回答表!X46="●",[3]回答表!G314,IF([3]回答表!AA46="●",[3]回答表!G331,""))</f>
        <v/>
      </c>
      <c r="AV203" s="120"/>
      <c r="AW203" s="120"/>
      <c r="AX203" s="120"/>
      <c r="AY203" s="120"/>
      <c r="AZ203" s="120"/>
      <c r="BA203" s="120"/>
      <c r="BB203" s="121"/>
      <c r="BC203" s="39"/>
      <c r="BD203" s="34"/>
      <c r="BE203" s="34"/>
      <c r="BF203" s="83" t="str">
        <f>IF([3]回答表!X46="●",[3]回答表!X313,IF([3]回答表!AA46="●",[3]回答表!X330,""))</f>
        <v/>
      </c>
      <c r="BG203" s="84"/>
      <c r="BH203" s="84"/>
      <c r="BI203" s="84"/>
      <c r="BJ203" s="83" t="str">
        <f>IF([3]回答表!X46="●",[3]回答表!X314,IF([3]回答表!AA46="●",[3]回答表!X331,""))</f>
        <v/>
      </c>
      <c r="BK203" s="84"/>
      <c r="BL203" s="84"/>
      <c r="BM203" s="87"/>
      <c r="BN203" s="83" t="str">
        <f>IF([3]回答表!X46="●",[3]回答表!X315,IF([3]回答表!AA46="●",[3]回答表!X332,""))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IF([3]回答表!AD46="●","●","")</f>
        <v/>
      </c>
      <c r="O212" s="99"/>
      <c r="P212" s="99"/>
      <c r="Q212" s="100"/>
      <c r="R212" s="38"/>
      <c r="S212" s="38"/>
      <c r="T212" s="38"/>
      <c r="U212" s="107" t="str">
        <f>IF([3]回答表!AD46="●",[3]回答表!B337,"")</f>
        <v/>
      </c>
      <c r="V212" s="108"/>
      <c r="W212" s="108"/>
      <c r="X212" s="108"/>
      <c r="Y212" s="108"/>
      <c r="Z212" s="108"/>
      <c r="AA212" s="108"/>
      <c r="AB212" s="108"/>
      <c r="AC212" s="108"/>
      <c r="AD212" s="108"/>
      <c r="AE212" s="108"/>
      <c r="AF212" s="108"/>
      <c r="AG212" s="108"/>
      <c r="AH212" s="108"/>
      <c r="AI212" s="108"/>
      <c r="AJ212" s="109"/>
      <c r="AK212" s="62"/>
      <c r="AL212" s="62"/>
      <c r="AM212" s="107" t="str">
        <f>IF([3]回答表!AD46="●",[3]回答表!B343,"")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IF([3]回答表!X47="●","●","")</f>
        <v/>
      </c>
      <c r="O224" s="99"/>
      <c r="P224" s="99"/>
      <c r="Q224" s="100"/>
      <c r="R224" s="38"/>
      <c r="S224" s="38"/>
      <c r="T224" s="38"/>
      <c r="U224" s="107" t="str">
        <f>IF([3]回答表!X47="●",[3]回答表!B356,IF([3]回答表!AA47="●",[3]回答表!B379,""))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IF([3]回答表!X47="●",[3]回答表!B362,"")</f>
        <v/>
      </c>
      <c r="AO224" s="182"/>
      <c r="AP224" s="182"/>
      <c r="AQ224" s="182"/>
      <c r="AR224" s="182"/>
      <c r="AS224" s="182"/>
      <c r="AT224" s="182"/>
      <c r="AU224" s="182"/>
      <c r="AV224" s="182"/>
      <c r="AW224" s="182"/>
      <c r="AX224" s="182"/>
      <c r="AY224" s="182"/>
      <c r="AZ224" s="182"/>
      <c r="BA224" s="182"/>
      <c r="BB224" s="183"/>
      <c r="BC224" s="39"/>
      <c r="BD224" s="34"/>
      <c r="BE224" s="34"/>
      <c r="BF224" s="116" t="str">
        <f>IF([3]回答表!X47="●",[3]回答表!B368,IF([3]回答表!AA47="●",[3]回答表!B385,""))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IF([3]回答表!X47="●",[3]回答表!E368,IF([3]回答表!AA47="●",[3]回答表!E385,""))</f>
        <v/>
      </c>
      <c r="BG227" s="84"/>
      <c r="BH227" s="84"/>
      <c r="BI227" s="84"/>
      <c r="BJ227" s="83" t="str">
        <f>IF([3]回答表!X47="●",[3]回答表!E369,IF([3]回答表!AA47="●",[3]回答表!E386,""))</f>
        <v/>
      </c>
      <c r="BK227" s="84"/>
      <c r="BL227" s="84"/>
      <c r="BM227" s="87"/>
      <c r="BN227" s="83" t="str">
        <f>IF([3]回答表!X47="●",[3]回答表!E370,IF([3]回答表!AA47="●",[3]回答表!E387,""))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IF([3]回答表!AD47="●","●","")</f>
        <v/>
      </c>
      <c r="O236" s="99"/>
      <c r="P236" s="99"/>
      <c r="Q236" s="100"/>
      <c r="R236" s="38"/>
      <c r="S236" s="38"/>
      <c r="T236" s="38"/>
      <c r="U236" s="107" t="str">
        <f>IF([3]回答表!AD47="●",[3]回答表!B392,"")</f>
        <v/>
      </c>
      <c r="V236" s="108"/>
      <c r="W236" s="108"/>
      <c r="X236" s="108"/>
      <c r="Y236" s="108"/>
      <c r="Z236" s="108"/>
      <c r="AA236" s="108"/>
      <c r="AB236" s="108"/>
      <c r="AC236" s="108"/>
      <c r="AD236" s="108"/>
      <c r="AE236" s="108"/>
      <c r="AF236" s="108"/>
      <c r="AG236" s="108"/>
      <c r="AH236" s="108"/>
      <c r="AI236" s="108"/>
      <c r="AJ236" s="109"/>
      <c r="AK236" s="62"/>
      <c r="AL236" s="62"/>
      <c r="AM236" s="107" t="str">
        <f>IF([3]回答表!AD47="●",[3]回答表!B398,"")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IF([3]回答表!X48="●","●","")</f>
        <v/>
      </c>
      <c r="O248" s="99"/>
      <c r="P248" s="99"/>
      <c r="Q248" s="100"/>
      <c r="R248" s="38"/>
      <c r="S248" s="38"/>
      <c r="T248" s="38"/>
      <c r="U248" s="107" t="str">
        <f>IF([3]回答表!X48="●",[3]回答表!B411,IF([3]回答表!AA48="●",[3]回答表!B425,""))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IF([3]回答表!X48="●",[3]回答表!BC418,IF([3]回答表!AA48="●",[3]回答表!BC432,""))</f>
        <v/>
      </c>
      <c r="AR248" s="151"/>
      <c r="AS248" s="151"/>
      <c r="AT248" s="151"/>
      <c r="AU248" s="173" t="s">
        <v>73</v>
      </c>
      <c r="AV248" s="174"/>
      <c r="AW248" s="174"/>
      <c r="AX248" s="175"/>
      <c r="AY248" s="151" t="str">
        <f>IF([3]回答表!X48="●",[3]回答表!BC423,IF([3]回答表!AA48="●",[3]回答表!BC437,""))</f>
        <v/>
      </c>
      <c r="AZ248" s="151"/>
      <c r="BA248" s="151"/>
      <c r="BB248" s="151"/>
      <c r="BC248" s="39"/>
      <c r="BD248" s="34"/>
      <c r="BE248" s="34"/>
      <c r="BF248" s="116" t="str">
        <f>IF([3]回答表!X48="●",[3]回答表!S417,IF([3]回答表!AA48="●",[3]回答表!S431,""))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IF([3]回答表!X48="●",[3]回答表!BC419,IF([3]回答表!AA48="●",[3]回答表!BC433,""))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IF([3]回答表!X48="●",[3]回答表!V417,IF([3]回答表!AA48="●",[3]回答表!V431,""))</f>
        <v/>
      </c>
      <c r="BG251" s="84"/>
      <c r="BH251" s="84"/>
      <c r="BI251" s="84"/>
      <c r="BJ251" s="83" t="str">
        <f>IF([3]回答表!X48="●",[3]回答表!V418,IF([3]回答表!AA48="●",[3]回答表!V432,""))</f>
        <v/>
      </c>
      <c r="BK251" s="84"/>
      <c r="BL251" s="84"/>
      <c r="BM251" s="87"/>
      <c r="BN251" s="83" t="str">
        <f>IF([3]回答表!X48="●",[3]回答表!V419,IF([3]回答表!AA48="●",[3]回答表!V433,""))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IF([3]回答表!X48="●",[3]回答表!BC420,IF([3]回答表!AA48="●",[3]回答表!BC434,""))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IF([3]回答表!X48="●",[3]回答表!BC424,IF([3]回答表!AA48="●",[3]回答表!BC438,""))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IF([3]回答表!X48="●",[3]回答表!BC421,IF([3]回答表!AA48="●",[3]回答表!BC435,""))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IF([3]回答表!X48="●",[3]回答表!BC422,IF([3]回答表!AA48="●",[3]回答表!BC436,""))</f>
        <v/>
      </c>
      <c r="AR256" s="151"/>
      <c r="AS256" s="151"/>
      <c r="AT256" s="151"/>
      <c r="AU256" s="152" t="s">
        <v>79</v>
      </c>
      <c r="AV256" s="153"/>
      <c r="AW256" s="153"/>
      <c r="AX256" s="154"/>
      <c r="AY256" s="158" t="str">
        <f>IF([3]回答表!X48="●",[3]回答表!BC425,IF([3]回答表!AA48="●",[3]回答表!BC439,""))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IF([3]回答表!AD48="●","●","")</f>
        <v/>
      </c>
      <c r="O260" s="99"/>
      <c r="P260" s="99"/>
      <c r="Q260" s="100"/>
      <c r="R260" s="38"/>
      <c r="S260" s="38"/>
      <c r="T260" s="38"/>
      <c r="U260" s="107" t="str">
        <f>IF([3]回答表!AD48="●",[3]回答表!B439,"")</f>
        <v/>
      </c>
      <c r="V260" s="108"/>
      <c r="W260" s="108"/>
      <c r="X260" s="108"/>
      <c r="Y260" s="108"/>
      <c r="Z260" s="108"/>
      <c r="AA260" s="108"/>
      <c r="AB260" s="108"/>
      <c r="AC260" s="108"/>
      <c r="AD260" s="108"/>
      <c r="AE260" s="108"/>
      <c r="AF260" s="108"/>
      <c r="AG260" s="108"/>
      <c r="AH260" s="108"/>
      <c r="AI260" s="108"/>
      <c r="AJ260" s="109"/>
      <c r="AK260" s="55"/>
      <c r="AL260" s="55"/>
      <c r="AM260" s="107" t="str">
        <f>IF([3]回答表!AD48="●",[3]回答表!B445,"")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IF([3]回答表!X49="●","●","")</f>
        <v/>
      </c>
      <c r="O271" s="99"/>
      <c r="P271" s="99"/>
      <c r="Q271" s="100"/>
      <c r="R271" s="38"/>
      <c r="S271" s="38"/>
      <c r="T271" s="38"/>
      <c r="U271" s="107" t="str">
        <f>IF([3]回答表!X49="●",[3]回答表!B458,IF([3]回答表!AA49="●",[3]回答表!B475,""))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IF([3]回答表!X49="●",[3]回答表!B468,IF([3]回答表!AA49="●",[3]回答表!B485,""))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IF([3]回答表!X49="●",[3]回答表!G464,IF([3]回答表!AA49="●",[3]回答表!G481,""))</f>
        <v/>
      </c>
      <c r="AN273" s="120"/>
      <c r="AO273" s="120"/>
      <c r="AP273" s="120"/>
      <c r="AQ273" s="120"/>
      <c r="AR273" s="120"/>
      <c r="AS273" s="120"/>
      <c r="AT273" s="121"/>
      <c r="AU273" s="119" t="str">
        <f>IF([3]回答表!X49="●",[3]回答表!G465,IF([3]回答表!AA49="●",[3]回答表!G482,""))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IF([3]回答表!X49="●",[3]回答表!E468,IF([3]回答表!AA49="●",[3]回答表!E485,""))</f>
        <v/>
      </c>
      <c r="BG274" s="84"/>
      <c r="BH274" s="84"/>
      <c r="BI274" s="84"/>
      <c r="BJ274" s="83" t="str">
        <f>IF([3]回答表!X49="●",[3]回答表!E469,IF([3]回答表!AA49="●",[3]回答表!E486,""))</f>
        <v/>
      </c>
      <c r="BK274" s="84"/>
      <c r="BL274" s="84"/>
      <c r="BM274" s="87"/>
      <c r="BN274" s="83" t="str">
        <f>IF([3]回答表!X49="●",[3]回答表!E470,IF([3]回答表!AA49="●",[3]回答表!E487,""))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IF([3]回答表!AD49="●","●","")</f>
        <v/>
      </c>
      <c r="O283" s="99"/>
      <c r="P283" s="99"/>
      <c r="Q283" s="100"/>
      <c r="R283" s="38"/>
      <c r="S283" s="38"/>
      <c r="T283" s="38"/>
      <c r="U283" s="107" t="str">
        <f>IF([3]回答表!AD49="●",[3]回答表!B492,"")</f>
        <v/>
      </c>
      <c r="V283" s="108"/>
      <c r="W283" s="108"/>
      <c r="X283" s="108"/>
      <c r="Y283" s="108"/>
      <c r="Z283" s="108"/>
      <c r="AA283" s="108"/>
      <c r="AB283" s="108"/>
      <c r="AC283" s="108"/>
      <c r="AD283" s="108"/>
      <c r="AE283" s="108"/>
      <c r="AF283" s="108"/>
      <c r="AG283" s="108"/>
      <c r="AH283" s="108"/>
      <c r="AI283" s="108"/>
      <c r="AJ283" s="109"/>
      <c r="AK283" s="49"/>
      <c r="AL283" s="49"/>
      <c r="AM283" s="107" t="str">
        <f>IF([3]回答表!AD49="●",[3]回答表!B498,"")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IF([3]回答表!R50="●",[3]回答表!B511,"")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9E176-74AA-4EA9-823C-607FA749286C}">
  <sheetPr>
    <pageSetUpPr fitToPage="1"/>
  </sheetPr>
  <dimension ref="A1:CN315"/>
  <sheetViews>
    <sheetView showZeros="0" view="pageBreakPreview" zoomScale="60" zoomScaleNormal="55" workbookViewId="0">
      <selection activeCell="AR57" sqref="AR57:BB5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IF(COUNTIF([10]回答表!K15,"*")&gt;0,[10]回答表!K15,"")</f>
        <v>大館市</v>
      </c>
      <c r="D11" s="299"/>
      <c r="E11" s="299"/>
      <c r="F11" s="299"/>
      <c r="G11" s="299"/>
      <c r="H11" s="299"/>
      <c r="I11" s="299"/>
      <c r="J11" s="299"/>
      <c r="K11" s="299"/>
      <c r="L11" s="299"/>
      <c r="M11" s="299"/>
      <c r="N11" s="299"/>
      <c r="O11" s="299"/>
      <c r="P11" s="299"/>
      <c r="Q11" s="299"/>
      <c r="R11" s="299"/>
      <c r="S11" s="299"/>
      <c r="T11" s="299"/>
      <c r="U11" s="306" t="str">
        <f>IF(COUNTIF([10]回答表!F17,"*")&gt;0,[10]回答表!F17,"")</f>
        <v>市場事業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IF(COUNTIF([10]回答表!W17,"*")&gt;0,[10]回答表!W17,"")</f>
        <v>―</v>
      </c>
      <c r="AP11" s="301"/>
      <c r="AQ11" s="301"/>
      <c r="AR11" s="301"/>
      <c r="AS11" s="301"/>
      <c r="AT11" s="301"/>
      <c r="AU11" s="301"/>
      <c r="AV11" s="301"/>
      <c r="AW11" s="301"/>
      <c r="AX11" s="301"/>
      <c r="AY11" s="301"/>
      <c r="AZ11" s="301"/>
      <c r="BA11" s="301"/>
      <c r="BB11" s="301"/>
      <c r="BC11" s="301"/>
      <c r="BD11" s="301"/>
      <c r="BE11" s="301"/>
      <c r="BF11" s="302"/>
      <c r="BG11" s="305" t="str">
        <f>IF(COUNTIF([10]回答表!F19,"*")&gt;0,[10]回答表!F19,"")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IF([10]回答表!R43="●","●","")</f>
        <v/>
      </c>
      <c r="E24" s="123"/>
      <c r="F24" s="123"/>
      <c r="G24" s="123"/>
      <c r="H24" s="123"/>
      <c r="I24" s="123"/>
      <c r="J24" s="124"/>
      <c r="K24" s="122" t="str">
        <f>IF([10]回答表!R44="●","●","")</f>
        <v/>
      </c>
      <c r="L24" s="123"/>
      <c r="M24" s="123"/>
      <c r="N24" s="123"/>
      <c r="O24" s="123"/>
      <c r="P24" s="123"/>
      <c r="Q24" s="124"/>
      <c r="R24" s="122" t="str">
        <f>IF([10]回答表!R45="●","●","")</f>
        <v/>
      </c>
      <c r="S24" s="123"/>
      <c r="T24" s="123"/>
      <c r="U24" s="123"/>
      <c r="V24" s="123"/>
      <c r="W24" s="123"/>
      <c r="X24" s="124"/>
      <c r="Y24" s="122" t="str">
        <f>IF([10]回答表!R46="●","●","")</f>
        <v/>
      </c>
      <c r="Z24" s="123"/>
      <c r="AA24" s="123"/>
      <c r="AB24" s="123"/>
      <c r="AC24" s="123"/>
      <c r="AD24" s="123"/>
      <c r="AE24" s="124"/>
      <c r="AF24" s="122" t="str">
        <f>IF([10]回答表!R47="●","●","")</f>
        <v/>
      </c>
      <c r="AG24" s="123"/>
      <c r="AH24" s="123"/>
      <c r="AI24" s="123"/>
      <c r="AJ24" s="123"/>
      <c r="AK24" s="123"/>
      <c r="AL24" s="124"/>
      <c r="AM24" s="122" t="str">
        <f>IF([10]回答表!R48="●","●","")</f>
        <v/>
      </c>
      <c r="AN24" s="123"/>
      <c r="AO24" s="123"/>
      <c r="AP24" s="123"/>
      <c r="AQ24" s="123"/>
      <c r="AR24" s="123"/>
      <c r="AS24" s="124"/>
      <c r="AT24" s="122" t="str">
        <f>IF([10]回答表!R49="●","●","")</f>
        <v/>
      </c>
      <c r="AU24" s="123"/>
      <c r="AV24" s="123"/>
      <c r="AW24" s="123"/>
      <c r="AX24" s="123"/>
      <c r="AY24" s="123"/>
      <c r="AZ24" s="124"/>
      <c r="BA24" s="18"/>
      <c r="BB24" s="119" t="str">
        <f>IF([10]回答表!R50="●","●","")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IF([10]回答表!X43="●","●","")</f>
        <v/>
      </c>
      <c r="O36" s="99"/>
      <c r="P36" s="99"/>
      <c r="Q36" s="100"/>
      <c r="R36" s="38"/>
      <c r="S36" s="38"/>
      <c r="T36" s="38"/>
      <c r="U36" s="107" t="str">
        <f>IF([10]回答表!X43="●",[10]回答表!B59,IF([10]回答表!AA43="●",[10]回答表!B79,""))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IF([10]回答表!X43="●",[10]回答表!S65,IF([10]回答表!AA43="●",[10]回答表!S85,""))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IF([10]回答表!X43="●",[10]回答表!G65,IF([10]回答表!AA43="●",[10]回答表!G85,""))</f>
        <v/>
      </c>
      <c r="AN38" s="120"/>
      <c r="AO38" s="120"/>
      <c r="AP38" s="120"/>
      <c r="AQ38" s="120"/>
      <c r="AR38" s="120"/>
      <c r="AS38" s="120"/>
      <c r="AT38" s="121"/>
      <c r="AU38" s="119" t="str">
        <f>IF([10]回答表!X43="●",[10]回答表!G66,IF([10]回答表!AA43="●",[10]回答表!G86,""))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IF([10]回答表!X43="●",[10]回答表!V65,IF([10]回答表!AA43="●",[10]回答表!V85,""))</f>
        <v/>
      </c>
      <c r="BG39" s="249"/>
      <c r="BH39" s="249"/>
      <c r="BI39" s="250"/>
      <c r="BJ39" s="83" t="str">
        <f>IF([10]回答表!X43="●",[10]回答表!V66,IF([10]回答表!AA43="●",[10]回答表!V86,""))</f>
        <v/>
      </c>
      <c r="BK39" s="249"/>
      <c r="BL39" s="249"/>
      <c r="BM39" s="250"/>
      <c r="BN39" s="83" t="str">
        <f>IF([10]回答表!X43="●",[10]回答表!V67,IF([10]回答表!AA43="●",[10]回答表!V87,""))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IF([10]回答表!X43="●",[10]回答表!O71,IF([10]回答表!AA43="●",[10]回答表!O91,""))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IF([10]回答表!X43="●",[10]回答表!O72,IF([10]回答表!AA43="●",[10]回答表!O92,""))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IF([10]回答表!AA43="●","●","")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IF([10]回答表!X43="●",[10]回答表!O73,IF([10]回答表!AA43="●",[10]回答表!O93,""))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IF([10]回答表!X43="●",[10]回答表!O74,IF([10]回答表!AA43="●",[10]回答表!O94,""))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IF([10]回答表!X43="●",[10]回答表!AG71,IF([10]回答表!AA43="●",[10]回答表!AG91,""))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IF([10]回答表!X43="●",[10]回答表!AG72,IF([10]回答表!AA43="●",[10]回答表!AG92,""))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IF([10]回答表!AD43="●","●","")</f>
        <v/>
      </c>
      <c r="O51" s="99"/>
      <c r="P51" s="99"/>
      <c r="Q51" s="100"/>
      <c r="R51" s="38"/>
      <c r="S51" s="38"/>
      <c r="T51" s="38"/>
      <c r="U51" s="107" t="str">
        <f>IF([10]回答表!AD43="●",[10]回答表!B99,"")</f>
        <v/>
      </c>
      <c r="V51" s="108"/>
      <c r="W51" s="108"/>
      <c r="X51" s="108"/>
      <c r="Y51" s="108"/>
      <c r="Z51" s="108"/>
      <c r="AA51" s="108"/>
      <c r="AB51" s="108"/>
      <c r="AC51" s="108"/>
      <c r="AD51" s="108"/>
      <c r="AE51" s="108"/>
      <c r="AF51" s="108"/>
      <c r="AG51" s="108"/>
      <c r="AH51" s="108"/>
      <c r="AI51" s="108"/>
      <c r="AJ51" s="109"/>
      <c r="AK51" s="55"/>
      <c r="AL51" s="55"/>
      <c r="AM51" s="107" t="str">
        <f>IF([10]回答表!AD43="●",[10]回答表!B104,"")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IF([10]回答表!X44="●","●","")</f>
        <v/>
      </c>
      <c r="O62" s="99"/>
      <c r="P62" s="99"/>
      <c r="Q62" s="100"/>
      <c r="R62" s="38"/>
      <c r="S62" s="38"/>
      <c r="T62" s="38"/>
      <c r="U62" s="107" t="str">
        <f>IF([10]回答表!X44="●",[10]回答表!B115,IF([10]回答表!AA44="●",[10]回答表!B127,""))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IF([10]回答表!X44="●",[10]回答表!S121,IF([10]回答表!AA44="●",[10]回答表!S133,""))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IF([10]回答表!X44="●",[10]回答表!J121,IF([10]回答表!AA44="●",[10]回答表!J133,""))</f>
        <v/>
      </c>
      <c r="AN65" s="120"/>
      <c r="AO65" s="120"/>
      <c r="AP65" s="120"/>
      <c r="AQ65" s="120"/>
      <c r="AR65" s="120"/>
      <c r="AS65" s="120"/>
      <c r="AT65" s="121"/>
      <c r="AU65" s="119" t="str">
        <f>IF([10]回答表!X44="●",[10]回答表!J122,IF([10]回答表!AA44="●",[10]回答表!J134,""))</f>
        <v/>
      </c>
      <c r="AV65" s="120"/>
      <c r="AW65" s="120"/>
      <c r="AX65" s="120"/>
      <c r="AY65" s="120"/>
      <c r="AZ65" s="120"/>
      <c r="BA65" s="120"/>
      <c r="BB65" s="121"/>
      <c r="BC65" s="39"/>
      <c r="BD65" s="34"/>
      <c r="BE65" s="34"/>
      <c r="BF65" s="83" t="str">
        <f>IF([10]回答表!X44="●",[10]回答表!V121,IF([10]回答表!AA44="●",[10]回答表!V133,""))</f>
        <v/>
      </c>
      <c r="BG65" s="84"/>
      <c r="BH65" s="84"/>
      <c r="BI65" s="84"/>
      <c r="BJ65" s="83" t="str">
        <f>IF([10]回答表!X44="●",[10]回答表!V122,IF([10]回答表!AA44="●",[10]回答表!V134,""))</f>
        <v/>
      </c>
      <c r="BK65" s="84"/>
      <c r="BL65" s="84"/>
      <c r="BM65" s="84"/>
      <c r="BN65" s="83" t="str">
        <f>IF([10]回答表!X44="●",[10]回答表!V123,IF([10]回答表!AA44="●",[10]回答表!V135,""))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IF([10]回答表!AA44="●","●","")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IF([10]回答表!AD44="●","●","")</f>
        <v/>
      </c>
      <c r="O74" s="99"/>
      <c r="P74" s="99"/>
      <c r="Q74" s="100"/>
      <c r="R74" s="38"/>
      <c r="S74" s="38"/>
      <c r="T74" s="38"/>
      <c r="U74" s="107" t="str">
        <f>IF([10]回答表!AD44="●",[10]回答表!B140,"")</f>
        <v/>
      </c>
      <c r="V74" s="108"/>
      <c r="W74" s="108"/>
      <c r="X74" s="108"/>
      <c r="Y74" s="108"/>
      <c r="Z74" s="108"/>
      <c r="AA74" s="108"/>
      <c r="AB74" s="108"/>
      <c r="AC74" s="108"/>
      <c r="AD74" s="108"/>
      <c r="AE74" s="108"/>
      <c r="AF74" s="108"/>
      <c r="AG74" s="108"/>
      <c r="AH74" s="108"/>
      <c r="AI74" s="108"/>
      <c r="AJ74" s="109"/>
      <c r="AK74" s="55"/>
      <c r="AL74" s="55"/>
      <c r="AM74" s="107" t="str">
        <f>IF([10]回答表!AD44="●",[10]回答表!B146,"")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IF([10]回答表!F17="水道事業",IF([10]回答表!X45="●","●",""),"")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IF([10]回答表!F17="水道事業",IF([10]回答表!X45="●",[10]回答表!B158,IF([10]回答表!AA45="●",[10]回答表!B223,"")),"")</f>
        <v/>
      </c>
      <c r="AN86" s="212"/>
      <c r="AO86" s="212"/>
      <c r="AP86" s="212"/>
      <c r="AQ86" s="212"/>
      <c r="AR86" s="212"/>
      <c r="AS86" s="212"/>
      <c r="AT86" s="212"/>
      <c r="AU86" s="212"/>
      <c r="AV86" s="212"/>
      <c r="AW86" s="212"/>
      <c r="AX86" s="212"/>
      <c r="AY86" s="212"/>
      <c r="AZ86" s="212"/>
      <c r="BA86" s="212"/>
      <c r="BB86" s="212"/>
      <c r="BC86" s="213"/>
      <c r="BD86" s="34"/>
      <c r="BE86" s="34"/>
      <c r="BF86" s="116" t="str">
        <f>IF([10]回答表!F17="水道事業",IF([10]回答表!X45="●",[10]回答表!B212,IF([10]回答表!AA45="●",[10]回答表!B278,"")),"")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IF([10]回答表!F17="水道事業",IF([10]回答表!X45="●",[10]回答表!J166,IF([10]回答表!AA45="●",[10]回答表!J231,"")),"")</f>
        <v/>
      </c>
      <c r="V88" s="120"/>
      <c r="W88" s="120"/>
      <c r="X88" s="120"/>
      <c r="Y88" s="120"/>
      <c r="Z88" s="120"/>
      <c r="AA88" s="120"/>
      <c r="AB88" s="121"/>
      <c r="AC88" s="119" t="str">
        <f>IF([10]回答表!F17="水道事業",IF([10]回答表!X45="●",[10]回答表!J173,IF([10]回答表!AA45="●",[10]回答表!J238,"")),"")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IF([10]回答表!F17="水道事業",IF([10]回答表!X45="●",[10]回答表!E212,IF([10]回答表!AA45="●",[10]回答表!E278,"")),"")</f>
        <v/>
      </c>
      <c r="BG89" s="84"/>
      <c r="BH89" s="84"/>
      <c r="BI89" s="84"/>
      <c r="BJ89" s="83" t="str">
        <f>IF([10]回答表!F17="水道事業",IF([10]回答表!X45="●",[10]回答表!E213,IF([10]回答表!AA45="●",[10]回答表!E279,"")),"")</f>
        <v/>
      </c>
      <c r="BK89" s="84"/>
      <c r="BL89" s="84"/>
      <c r="BM89" s="84"/>
      <c r="BN89" s="83" t="str">
        <f>IF([10]回答表!F17="水道事業",IF([10]回答表!X45="●",[10]回答表!E214,IF([10]回答表!AA45="●",[10]回答表!E280,"")),"")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IF([10]回答表!F17="水道事業",IF([10]回答表!AA45="●","●",""),"")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IF([10]回答表!F17="水道事業",IF([10]回答表!X45="●",[10]回答表!J176,IF([10]回答表!AA45="●",[10]回答表!J241,"")),"")</f>
        <v/>
      </c>
      <c r="V93" s="120"/>
      <c r="W93" s="120"/>
      <c r="X93" s="120"/>
      <c r="Y93" s="120"/>
      <c r="Z93" s="120"/>
      <c r="AA93" s="120"/>
      <c r="AB93" s="121"/>
      <c r="AC93" s="119" t="str">
        <f>IF([10]回答表!F17="水道事業",IF([10]回答表!X45="●",[10]回答表!J180,IF([10]回答表!AA45="●",[10]回答表!J245,"")),"")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IF([10]回答表!F17="水道事業",IF([10]回答表!AD45="●","●",""),"")</f>
        <v/>
      </c>
      <c r="O98" s="99"/>
      <c r="P98" s="99"/>
      <c r="Q98" s="100"/>
      <c r="R98" s="38"/>
      <c r="S98" s="38"/>
      <c r="T98" s="38"/>
      <c r="U98" s="107" t="str">
        <f>IF([10]回答表!F17="水道事業",IF([10]回答表!AD45="●",[10]回答表!B289,""),"")</f>
        <v/>
      </c>
      <c r="V98" s="108"/>
      <c r="W98" s="108"/>
      <c r="X98" s="108"/>
      <c r="Y98" s="108"/>
      <c r="Z98" s="108"/>
      <c r="AA98" s="108"/>
      <c r="AB98" s="108"/>
      <c r="AC98" s="108"/>
      <c r="AD98" s="108"/>
      <c r="AE98" s="108"/>
      <c r="AF98" s="108"/>
      <c r="AG98" s="108"/>
      <c r="AH98" s="108"/>
      <c r="AI98" s="108"/>
      <c r="AJ98" s="109"/>
      <c r="AK98" s="55"/>
      <c r="AL98" s="55"/>
      <c r="AM98" s="107" t="str">
        <f>IF([10]回答表!F17="水道事業",IF([10]回答表!AD45="●",[10]回答表!B295,""),"")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IF([10]回答表!F17="簡易水道事業",IF([10]回答表!X45="●",[10]回答表!B158,IF([10]回答表!AA45="●",[10]回答表!B223,"")),"")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IF([10]回答表!F17="簡易水道事業",IF([10]回答表!X45="●",[10]回答表!B212,IF([10]回答表!AA45="●",[10]回答表!B278,"")),"")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IF([10]回答表!F17="簡易水道事業",IF([10]回答表!X45="●","●",""),"")</f>
        <v/>
      </c>
      <c r="O112" s="99"/>
      <c r="P112" s="99"/>
      <c r="Q112" s="100"/>
      <c r="R112" s="38"/>
      <c r="S112" s="38"/>
      <c r="T112" s="38"/>
      <c r="U112" s="119" t="str">
        <f>IF([10]回答表!F17="簡易水道事業",IF([10]回答表!X45="●",[10]回答表!Y185,IF([10]回答表!AA45="●",[10]回答表!Y251,"")),"")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IF([10]回答表!F17="簡易水道事業",IF([10]回答表!X45="●",[10]回答表!E212,IF([10]回答表!AA45="●",[10]回答表!E278,"")),"")</f>
        <v/>
      </c>
      <c r="BG113" s="84"/>
      <c r="BH113" s="84"/>
      <c r="BI113" s="84"/>
      <c r="BJ113" s="83" t="str">
        <f>IF([10]回答表!F17="簡易水道事業",IF([10]回答表!X45="●",[10]回答表!E213,IF([10]回答表!AA45="●",[10]回答表!E279,"")),"")</f>
        <v/>
      </c>
      <c r="BK113" s="84"/>
      <c r="BL113" s="84"/>
      <c r="BM113" s="84"/>
      <c r="BN113" s="83" t="str">
        <f>IF([10]回答表!F17="簡易水道事業",IF([10]回答表!X45="●",[10]回答表!E214,IF([10]回答表!AA45="●",[10]回答表!E280,"")),"")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IF([10]回答表!F17="簡易水道事業",IF([10]回答表!X45="●",[10]回答表!Y186,IF([10]回答表!AA45="●",[10]回答表!Y252,"")),"")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IF([10]回答表!F17="簡易水道事業",IF([10]回答表!AA45="●","●",""),"")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IF([10]回答表!F17="簡易水道事業",IF([10]回答表!X45="●",[10]回答表!Y187,IF([10]回答表!AA45="●",[10]回答表!Y253,"")),"")</f>
        <v/>
      </c>
      <c r="V122" s="120"/>
      <c r="W122" s="120"/>
      <c r="X122" s="120"/>
      <c r="Y122" s="120"/>
      <c r="Z122" s="120"/>
      <c r="AA122" s="120"/>
      <c r="AB122" s="120"/>
      <c r="AC122" s="120"/>
      <c r="AD122" s="120"/>
      <c r="AE122" s="120"/>
      <c r="AF122" s="120"/>
      <c r="AG122" s="120"/>
      <c r="AH122" s="120"/>
      <c r="AI122" s="120"/>
      <c r="AJ122" s="121"/>
      <c r="AK122" s="18"/>
      <c r="AL122" s="18"/>
      <c r="AM122" s="228" t="str">
        <f>IF([10]回答表!F17="簡易水道事業",IF([10]回答表!X45="●",[10]回答表!Y189,IF([10]回答表!AA45="●",[10]回答表!Y255,"")),"")</f>
        <v/>
      </c>
      <c r="AN122" s="228"/>
      <c r="AO122" s="228"/>
      <c r="AP122" s="228"/>
      <c r="AQ122" s="228"/>
      <c r="AR122" s="228"/>
      <c r="AS122" s="228" t="str">
        <f>IF([10]回答表!F17="簡易水道事業",IF([10]回答表!X45="●",[10]回答表!Y190,IF([10]回答表!AA45="●",[10]回答表!Y256,"")),"")</f>
        <v/>
      </c>
      <c r="AT122" s="228"/>
      <c r="AU122" s="228"/>
      <c r="AV122" s="228"/>
      <c r="AW122" s="228"/>
      <c r="AX122" s="228"/>
      <c r="AY122" s="228" t="str">
        <f>IF([10]回答表!F17="簡易水道事業",IF([10]回答表!X45="●",[10]回答表!Y191,IF([10]回答表!AA45="●",[10]回答表!Y257,"")),"")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IF([10]回答表!F17="簡易水道事業",IF([10]回答表!AD45="●","●",""),"")</f>
        <v/>
      </c>
      <c r="O127" s="99"/>
      <c r="P127" s="99"/>
      <c r="Q127" s="100"/>
      <c r="R127" s="38"/>
      <c r="S127" s="38"/>
      <c r="T127" s="38"/>
      <c r="U127" s="107" t="str">
        <f>IF([10]回答表!F17="簡易水道事業",IF([10]回答表!AD45="●",[10]回答表!B289,""),"")</f>
        <v/>
      </c>
      <c r="V127" s="108"/>
      <c r="W127" s="108"/>
      <c r="X127" s="108"/>
      <c r="Y127" s="108"/>
      <c r="Z127" s="108"/>
      <c r="AA127" s="108"/>
      <c r="AB127" s="108"/>
      <c r="AC127" s="108"/>
      <c r="AD127" s="108"/>
      <c r="AE127" s="108"/>
      <c r="AF127" s="108"/>
      <c r="AG127" s="108"/>
      <c r="AH127" s="108"/>
      <c r="AI127" s="108"/>
      <c r="AJ127" s="109"/>
      <c r="AK127" s="55"/>
      <c r="AL127" s="55"/>
      <c r="AM127" s="107" t="str">
        <f>IF([10]回答表!F17="簡易水道事業",IF([10]回答表!AD45="●",[10]回答表!B295,""),"")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IF([10]回答表!F17="下水道事業",IF([10]回答表!X45="●","●",""),"")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IF([10]回答表!F17="下水道事業",IF([10]回答表!X45="●",[10]回答表!B158,IF([10]回答表!AA45="●",[10]回答表!B223,"")),"")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IF([10]回答表!F17="下水道事業",IF([10]回答表!X45="●",[10]回答表!B212,IF([10]回答表!AA45="●",[10]回答表!B278,"")),"")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IF([10]回答表!F17="下水道事業",IF([10]回答表!X45="●",[10]回答表!Y193,IF([10]回答表!AA45="●",[10]回答表!Y259,"")),"")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IF([10]回答表!F17="下水道事業",IF([10]回答表!X45="●",[10]回答表!E212,IF([10]回答表!AA45="●",[10]回答表!E278,"")),"")</f>
        <v/>
      </c>
      <c r="BG142" s="84"/>
      <c r="BH142" s="84"/>
      <c r="BI142" s="84"/>
      <c r="BJ142" s="83" t="str">
        <f>IF([10]回答表!F17="下水道事業",IF([10]回答表!X45="●",[10]回答表!E213,IF([10]回答表!AA45="●",[10]回答表!E279,"")),"")</f>
        <v/>
      </c>
      <c r="BK142" s="84"/>
      <c r="BL142" s="84"/>
      <c r="BM142" s="84"/>
      <c r="BN142" s="83" t="str">
        <f>IF([10]回答表!F17="下水道事業",IF([10]回答表!X45="●",[10]回答表!E214,IF([10]回答表!AA45="●",[10]回答表!E280,"")),"")</f>
        <v/>
      </c>
      <c r="BO142" s="84"/>
      <c r="BP142" s="84"/>
      <c r="BQ142" s="87"/>
      <c r="BR142" s="37"/>
      <c r="BX142" s="211" t="str">
        <f>IF([10]回答表!AQ20="下水道事業",IF([10]回答表!BI48="○",[10]回答表!AM161,IF([10]回答表!BL48="○",[10]回答表!AM226,"")),"")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IF([10]回答表!F17="下水道事業",IF([10]回答表!X45="●",[10]回答表!Y195,IF([10]回答表!AA45="●",[10]回答表!Y261,"")),"")</f>
        <v/>
      </c>
      <c r="V147" s="120"/>
      <c r="W147" s="120"/>
      <c r="X147" s="120"/>
      <c r="Y147" s="120"/>
      <c r="Z147" s="120"/>
      <c r="AA147" s="120"/>
      <c r="AB147" s="121"/>
      <c r="AC147" s="119" t="str">
        <f>IF([10]回答表!F17="下水道事業",IF([10]回答表!X45="●",[10]回答表!Y196,IF([10]回答表!AA45="●",[10]回答表!Y262,"")),"")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IF([10]回答表!F17="下水道事業",IF([10]回答表!X45="●",[10]回答表!Y198,IF([10]回答表!AA45="●",[10]回答表!Y264,"")),"")</f>
        <v/>
      </c>
      <c r="V153" s="120"/>
      <c r="W153" s="120"/>
      <c r="X153" s="120"/>
      <c r="Y153" s="120"/>
      <c r="Z153" s="120"/>
      <c r="AA153" s="120"/>
      <c r="AB153" s="121"/>
      <c r="AC153" s="119" t="str">
        <f>IF([10]回答表!F17="下水道事業",IF([10]回答表!X45="●",[10]回答表!Y199,IF([10]回答表!AA45="●",[10]回答表!Y265,"")),"")</f>
        <v/>
      </c>
      <c r="AD153" s="120"/>
      <c r="AE153" s="120"/>
      <c r="AF153" s="120"/>
      <c r="AG153" s="120"/>
      <c r="AH153" s="120"/>
      <c r="AI153" s="120"/>
      <c r="AJ153" s="121"/>
      <c r="AK153" s="119" t="str">
        <f>IF([10]回答表!F17="下水道事業",IF([10]回答表!X45="●",[10]回答表!Y200,IF([10]回答表!AA45="●",[10]回答表!Y266,"")),"")</f>
        <v/>
      </c>
      <c r="AL153" s="120"/>
      <c r="AM153" s="120"/>
      <c r="AN153" s="120"/>
      <c r="AO153" s="120"/>
      <c r="AP153" s="120"/>
      <c r="AQ153" s="120"/>
      <c r="AR153" s="121"/>
      <c r="AS153" s="119" t="str">
        <f>IF([10]回答表!F17="下水道事業",IF([10]回答表!X45="●",[10]回答表!Y201,IF([10]回答表!AA45="●",[10]回答表!Y267,"")),"")</f>
        <v/>
      </c>
      <c r="AT153" s="120"/>
      <c r="AU153" s="120"/>
      <c r="AV153" s="120"/>
      <c r="AW153" s="120"/>
      <c r="AX153" s="120"/>
      <c r="AY153" s="120"/>
      <c r="AZ153" s="121"/>
      <c r="BA153" s="119" t="str">
        <f>IF([10]回答表!F17="下水道事業",IF([10]回答表!X45="●",[10]回答表!Y202,IF([10]回答表!AA45="●",[10]回答表!Y268,"")),"")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IF([10]回答表!F17="下水道事業",IF([10]回答表!AA45="●","●",""),"")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IF([10]回答表!F17="下水道事業",IF([10]回答表!X45="●",[10]回答表!Y207,IF([10]回答表!AA45="●",[10]回答表!Y273,"")),"")</f>
        <v/>
      </c>
      <c r="V159" s="120"/>
      <c r="W159" s="120"/>
      <c r="X159" s="120"/>
      <c r="Y159" s="120"/>
      <c r="Z159" s="120"/>
      <c r="AA159" s="120"/>
      <c r="AB159" s="121"/>
      <c r="AC159" s="119" t="str">
        <f>IF([10]回答表!F17="下水道事業",IF([10]回答表!X45="●",[10]回答表!Y208,IF([10]回答表!AA45="●",[10]回答表!Y274,"")),"")</f>
        <v/>
      </c>
      <c r="AD159" s="120"/>
      <c r="AE159" s="120"/>
      <c r="AF159" s="120"/>
      <c r="AG159" s="120"/>
      <c r="AH159" s="120"/>
      <c r="AI159" s="120"/>
      <c r="AJ159" s="121"/>
      <c r="AK159" s="119" t="str">
        <f>IF([10]回答表!F17="下水道事業",IF([10]回答表!X45="●",[10]回答表!Y209,IF([10]回答表!AA45="●",[10]回答表!Y275,"")),"")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IF([10]回答表!F17="下水道事業",IF([10]回答表!AD45="●","●",""),"")</f>
        <v/>
      </c>
      <c r="O164" s="99"/>
      <c r="P164" s="99"/>
      <c r="Q164" s="100"/>
      <c r="R164" s="38"/>
      <c r="S164" s="38"/>
      <c r="T164" s="38"/>
      <c r="U164" s="107" t="str">
        <f>IF([10]回答表!F17="下水道事業",IF([10]回答表!AD45="●",[10]回答表!B289,""),"")</f>
        <v/>
      </c>
      <c r="V164" s="108"/>
      <c r="W164" s="108"/>
      <c r="X164" s="108"/>
      <c r="Y164" s="108"/>
      <c r="Z164" s="108"/>
      <c r="AA164" s="108"/>
      <c r="AB164" s="108"/>
      <c r="AC164" s="108"/>
      <c r="AD164" s="108"/>
      <c r="AE164" s="108"/>
      <c r="AF164" s="108"/>
      <c r="AG164" s="108"/>
      <c r="AH164" s="108"/>
      <c r="AI164" s="108"/>
      <c r="AJ164" s="109"/>
      <c r="AK164" s="55"/>
      <c r="AL164" s="55"/>
      <c r="AM164" s="107" t="str">
        <f>IF([10]回答表!F17="下水道事業",IF([10]回答表!AD45="●",[10]回答表!B295,""),"")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IF([10]回答表!BD17="●",IF([10]回答表!X45="●","●",""),"")</f>
        <v/>
      </c>
      <c r="O176" s="99"/>
      <c r="P176" s="99"/>
      <c r="Q176" s="100"/>
      <c r="R176" s="38"/>
      <c r="S176" s="38"/>
      <c r="T176" s="38"/>
      <c r="U176" s="107" t="str">
        <f>IF([10]回答表!BD17="●",IF([10]回答表!X45="●",[10]回答表!B158,IF([10]回答表!AA45="●",[10]回答表!B223,"")),"")</f>
        <v/>
      </c>
      <c r="V176" s="108"/>
      <c r="W176" s="108"/>
      <c r="X176" s="108"/>
      <c r="Y176" s="108"/>
      <c r="Z176" s="108"/>
      <c r="AA176" s="108"/>
      <c r="AB176" s="108"/>
      <c r="AC176" s="108"/>
      <c r="AD176" s="108"/>
      <c r="AE176" s="108"/>
      <c r="AF176" s="108"/>
      <c r="AG176" s="108"/>
      <c r="AH176" s="108"/>
      <c r="AI176" s="108"/>
      <c r="AJ176" s="109"/>
      <c r="AK176" s="49"/>
      <c r="AL176" s="49"/>
      <c r="AM176" s="116" t="str">
        <f>IF([10]回答表!BD17="●",IF([10]回答表!X45="●",[10]回答表!B212,IF([10]回答表!AA45="●",[10]回答表!B278,"")),"")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IF([10]回答表!BD17="●",IF([10]回答表!X45="●",[10]回答表!E212,IF([10]回答表!AA45="●",[10]回答表!E278,"")),"")</f>
        <v/>
      </c>
      <c r="AN179" s="84"/>
      <c r="AO179" s="84"/>
      <c r="AP179" s="84"/>
      <c r="AQ179" s="83" t="str">
        <f>IF([10]回答表!BD17="●",IF([10]回答表!X45="●",[10]回答表!E213,IF([10]回答表!AA45="●",[10]回答表!E279,"")),"")</f>
        <v/>
      </c>
      <c r="AR179" s="84"/>
      <c r="AS179" s="84"/>
      <c r="AT179" s="84"/>
      <c r="AU179" s="83" t="str">
        <f>IF([10]回答表!BD17="●",IF([10]回答表!X45="●",[10]回答表!E214,IF([10]回答表!AA45="●",[10]回答表!E280,"")),"")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IF([10]回答表!BD17="●",IF([10]回答表!AA45="●","●",""),"")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IF([10]回答表!BD17="●",IF([10]回答表!AD45="●","●",""),"")</f>
        <v/>
      </c>
      <c r="O188" s="99"/>
      <c r="P188" s="99"/>
      <c r="Q188" s="100"/>
      <c r="R188" s="38"/>
      <c r="S188" s="38"/>
      <c r="T188" s="38"/>
      <c r="U188" s="107" t="str">
        <f>IF([10]回答表!BD17="●",IF([10]回答表!AD45="●",[10]回答表!B289,""),"")</f>
        <v/>
      </c>
      <c r="V188" s="108"/>
      <c r="W188" s="108"/>
      <c r="X188" s="108"/>
      <c r="Y188" s="108"/>
      <c r="Z188" s="108"/>
      <c r="AA188" s="108"/>
      <c r="AB188" s="108"/>
      <c r="AC188" s="108"/>
      <c r="AD188" s="108"/>
      <c r="AE188" s="108"/>
      <c r="AF188" s="108"/>
      <c r="AG188" s="108"/>
      <c r="AH188" s="108"/>
      <c r="AI188" s="108"/>
      <c r="AJ188" s="109"/>
      <c r="AK188" s="55"/>
      <c r="AL188" s="55"/>
      <c r="AM188" s="107" t="str">
        <f>IF([10]回答表!BD17="●",IF([10]回答表!AD45="●",[10]回答表!B295,""),"")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IF([10]回答表!X46="●","●","")</f>
        <v/>
      </c>
      <c r="O200" s="99"/>
      <c r="P200" s="99"/>
      <c r="Q200" s="100"/>
      <c r="R200" s="38"/>
      <c r="S200" s="38"/>
      <c r="T200" s="38"/>
      <c r="U200" s="107" t="str">
        <f>IF([10]回答表!X46="●",[10]回答表!B307,IF([10]回答表!AA46="●",[10]回答表!B324,""))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IF([10]回答表!X46="●",[10]回答表!U313,IF([10]回答表!AA46="●",[10]回答表!U330,""))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IF([10]回答表!X46="●",[10]回答表!G313,IF([10]回答表!AA46="●",[10]回答表!G330,""))</f>
        <v/>
      </c>
      <c r="AN203" s="120"/>
      <c r="AO203" s="120"/>
      <c r="AP203" s="120"/>
      <c r="AQ203" s="120"/>
      <c r="AR203" s="120"/>
      <c r="AS203" s="120"/>
      <c r="AT203" s="121"/>
      <c r="AU203" s="119" t="str">
        <f>IF([10]回答表!X46="●",[10]回答表!G314,IF([10]回答表!AA46="●",[10]回答表!G331,""))</f>
        <v/>
      </c>
      <c r="AV203" s="120"/>
      <c r="AW203" s="120"/>
      <c r="AX203" s="120"/>
      <c r="AY203" s="120"/>
      <c r="AZ203" s="120"/>
      <c r="BA203" s="120"/>
      <c r="BB203" s="121"/>
      <c r="BC203" s="39"/>
      <c r="BD203" s="34"/>
      <c r="BE203" s="34"/>
      <c r="BF203" s="83" t="str">
        <f>IF([10]回答表!X46="●",[10]回答表!X313,IF([10]回答表!AA46="●",[10]回答表!X330,""))</f>
        <v/>
      </c>
      <c r="BG203" s="84"/>
      <c r="BH203" s="84"/>
      <c r="BI203" s="84"/>
      <c r="BJ203" s="83" t="str">
        <f>IF([10]回答表!X46="●",[10]回答表!X314,IF([10]回答表!AA46="●",[10]回答表!X331,""))</f>
        <v/>
      </c>
      <c r="BK203" s="84"/>
      <c r="BL203" s="84"/>
      <c r="BM203" s="87"/>
      <c r="BN203" s="83" t="str">
        <f>IF([10]回答表!X46="●",[10]回答表!X315,IF([10]回答表!AA46="●",[10]回答表!X332,""))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IF([10]回答表!AA46="●","●","")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IF([10]回答表!AD46="●","●","")</f>
        <v/>
      </c>
      <c r="O212" s="99"/>
      <c r="P212" s="99"/>
      <c r="Q212" s="100"/>
      <c r="R212" s="38"/>
      <c r="S212" s="38"/>
      <c r="T212" s="38"/>
      <c r="U212" s="107" t="str">
        <f>IF([10]回答表!AD46="●",[10]回答表!B337,"")</f>
        <v/>
      </c>
      <c r="V212" s="108"/>
      <c r="W212" s="108"/>
      <c r="X212" s="108"/>
      <c r="Y212" s="108"/>
      <c r="Z212" s="108"/>
      <c r="AA212" s="108"/>
      <c r="AB212" s="108"/>
      <c r="AC212" s="108"/>
      <c r="AD212" s="108"/>
      <c r="AE212" s="108"/>
      <c r="AF212" s="108"/>
      <c r="AG212" s="108"/>
      <c r="AH212" s="108"/>
      <c r="AI212" s="108"/>
      <c r="AJ212" s="109"/>
      <c r="AK212" s="62"/>
      <c r="AL212" s="62"/>
      <c r="AM212" s="107" t="str">
        <f>IF([10]回答表!AD46="●",[10]回答表!B343,"")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IF([10]回答表!X47="●","●","")</f>
        <v/>
      </c>
      <c r="O224" s="99"/>
      <c r="P224" s="99"/>
      <c r="Q224" s="100"/>
      <c r="R224" s="38"/>
      <c r="S224" s="38"/>
      <c r="T224" s="38"/>
      <c r="U224" s="107" t="str">
        <f>IF([10]回答表!X47="●",[10]回答表!B356,IF([10]回答表!AA47="●",[10]回答表!B379,""))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IF([10]回答表!X47="●",[10]回答表!B362,"")</f>
        <v/>
      </c>
      <c r="AO224" s="182"/>
      <c r="AP224" s="182"/>
      <c r="AQ224" s="182"/>
      <c r="AR224" s="182"/>
      <c r="AS224" s="182"/>
      <c r="AT224" s="182"/>
      <c r="AU224" s="182"/>
      <c r="AV224" s="182"/>
      <c r="AW224" s="182"/>
      <c r="AX224" s="182"/>
      <c r="AY224" s="182"/>
      <c r="AZ224" s="182"/>
      <c r="BA224" s="182"/>
      <c r="BB224" s="183"/>
      <c r="BC224" s="39"/>
      <c r="BD224" s="34"/>
      <c r="BE224" s="34"/>
      <c r="BF224" s="116" t="str">
        <f>IF([10]回答表!X47="●",[10]回答表!B368,IF([10]回答表!AA47="●",[10]回答表!B385,""))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IF([10]回答表!X47="●",[10]回答表!E368,IF([10]回答表!AA47="●",[10]回答表!E385,""))</f>
        <v/>
      </c>
      <c r="BG227" s="84"/>
      <c r="BH227" s="84"/>
      <c r="BI227" s="84"/>
      <c r="BJ227" s="83" t="str">
        <f>IF([10]回答表!X47="●",[10]回答表!E369,IF([10]回答表!AA47="●",[10]回答表!E386,""))</f>
        <v/>
      </c>
      <c r="BK227" s="84"/>
      <c r="BL227" s="84"/>
      <c r="BM227" s="87"/>
      <c r="BN227" s="83" t="str">
        <f>IF([10]回答表!X47="●",[10]回答表!E370,IF([10]回答表!AA47="●",[10]回答表!E387,""))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IF([10]回答表!AA47="●","●","")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IF([10]回答表!AD47="●","●","")</f>
        <v/>
      </c>
      <c r="O236" s="99"/>
      <c r="P236" s="99"/>
      <c r="Q236" s="100"/>
      <c r="R236" s="38"/>
      <c r="S236" s="38"/>
      <c r="T236" s="38"/>
      <c r="U236" s="107" t="str">
        <f>IF([10]回答表!AD47="●",[10]回答表!B392,"")</f>
        <v/>
      </c>
      <c r="V236" s="108"/>
      <c r="W236" s="108"/>
      <c r="X236" s="108"/>
      <c r="Y236" s="108"/>
      <c r="Z236" s="108"/>
      <c r="AA236" s="108"/>
      <c r="AB236" s="108"/>
      <c r="AC236" s="108"/>
      <c r="AD236" s="108"/>
      <c r="AE236" s="108"/>
      <c r="AF236" s="108"/>
      <c r="AG236" s="108"/>
      <c r="AH236" s="108"/>
      <c r="AI236" s="108"/>
      <c r="AJ236" s="109"/>
      <c r="AK236" s="62"/>
      <c r="AL236" s="62"/>
      <c r="AM236" s="107" t="str">
        <f>IF([10]回答表!AD47="●",[10]回答表!B398,"")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IF([10]回答表!X48="●","●","")</f>
        <v/>
      </c>
      <c r="O248" s="99"/>
      <c r="P248" s="99"/>
      <c r="Q248" s="100"/>
      <c r="R248" s="38"/>
      <c r="S248" s="38"/>
      <c r="T248" s="38"/>
      <c r="U248" s="107" t="str">
        <f>IF([10]回答表!X48="●",[10]回答表!B411,IF([10]回答表!AA48="●",[10]回答表!B425,""))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IF([10]回答表!X48="●",[10]回答表!BC418,IF([10]回答表!AA48="●",[10]回答表!BC432,""))</f>
        <v/>
      </c>
      <c r="AR248" s="151"/>
      <c r="AS248" s="151"/>
      <c r="AT248" s="151"/>
      <c r="AU248" s="173" t="s">
        <v>73</v>
      </c>
      <c r="AV248" s="174"/>
      <c r="AW248" s="174"/>
      <c r="AX248" s="175"/>
      <c r="AY248" s="151" t="str">
        <f>IF([10]回答表!X48="●",[10]回答表!BC423,IF([10]回答表!AA48="●",[10]回答表!BC437,""))</f>
        <v/>
      </c>
      <c r="AZ248" s="151"/>
      <c r="BA248" s="151"/>
      <c r="BB248" s="151"/>
      <c r="BC248" s="39"/>
      <c r="BD248" s="34"/>
      <c r="BE248" s="34"/>
      <c r="BF248" s="116" t="str">
        <f>IF([10]回答表!X48="●",[10]回答表!S417,IF([10]回答表!AA48="●",[10]回答表!S431,""))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IF([10]回答表!X48="●",[10]回答表!BC419,IF([10]回答表!AA48="●",[10]回答表!BC433,""))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IF([10]回答表!X48="●",[10]回答表!V417,IF([10]回答表!AA48="●",[10]回答表!V431,""))</f>
        <v/>
      </c>
      <c r="BG251" s="84"/>
      <c r="BH251" s="84"/>
      <c r="BI251" s="84"/>
      <c r="BJ251" s="83" t="str">
        <f>IF([10]回答表!X48="●",[10]回答表!V418,IF([10]回答表!AA48="●",[10]回答表!V432,""))</f>
        <v/>
      </c>
      <c r="BK251" s="84"/>
      <c r="BL251" s="84"/>
      <c r="BM251" s="87"/>
      <c r="BN251" s="83" t="str">
        <f>IF([10]回答表!X48="●",[10]回答表!V419,IF([10]回答表!AA48="●",[10]回答表!V433,""))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IF([10]回答表!X48="●",[10]回答表!BC420,IF([10]回答表!AA48="●",[10]回答表!BC434,""))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IF([10]回答表!X48="●",[10]回答表!BC424,IF([10]回答表!AA48="●",[10]回答表!BC438,""))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IF([10]回答表!AA48="●","●","")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IF([10]回答表!X48="●",[10]回答表!BC421,IF([10]回答表!AA48="●",[10]回答表!BC435,""))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IF([10]回答表!X48="●",[10]回答表!BC422,IF([10]回答表!AA48="●",[10]回答表!BC436,""))</f>
        <v/>
      </c>
      <c r="AR256" s="151"/>
      <c r="AS256" s="151"/>
      <c r="AT256" s="151"/>
      <c r="AU256" s="152" t="s">
        <v>79</v>
      </c>
      <c r="AV256" s="153"/>
      <c r="AW256" s="153"/>
      <c r="AX256" s="154"/>
      <c r="AY256" s="158" t="str">
        <f>IF([10]回答表!X48="●",[10]回答表!BC425,IF([10]回答表!AA48="●",[10]回答表!BC439,""))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IF([10]回答表!AD48="●","●","")</f>
        <v/>
      </c>
      <c r="O260" s="99"/>
      <c r="P260" s="99"/>
      <c r="Q260" s="100"/>
      <c r="R260" s="38"/>
      <c r="S260" s="38"/>
      <c r="T260" s="38"/>
      <c r="U260" s="107" t="str">
        <f>IF([10]回答表!AD48="●",[10]回答表!B439,"")</f>
        <v/>
      </c>
      <c r="V260" s="108"/>
      <c r="W260" s="108"/>
      <c r="X260" s="108"/>
      <c r="Y260" s="108"/>
      <c r="Z260" s="108"/>
      <c r="AA260" s="108"/>
      <c r="AB260" s="108"/>
      <c r="AC260" s="108"/>
      <c r="AD260" s="108"/>
      <c r="AE260" s="108"/>
      <c r="AF260" s="108"/>
      <c r="AG260" s="108"/>
      <c r="AH260" s="108"/>
      <c r="AI260" s="108"/>
      <c r="AJ260" s="109"/>
      <c r="AK260" s="55"/>
      <c r="AL260" s="55"/>
      <c r="AM260" s="107" t="str">
        <f>IF([10]回答表!AD48="●",[10]回答表!B445,"")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IF([10]回答表!X49="●","●","")</f>
        <v/>
      </c>
      <c r="O271" s="99"/>
      <c r="P271" s="99"/>
      <c r="Q271" s="100"/>
      <c r="R271" s="38"/>
      <c r="S271" s="38"/>
      <c r="T271" s="38"/>
      <c r="U271" s="107" t="str">
        <f>IF([10]回答表!X49="●",[10]回答表!B458,IF([10]回答表!AA49="●",[10]回答表!B475,""))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IF([10]回答表!X49="●",[10]回答表!B468,IF([10]回答表!AA49="●",[10]回答表!B485,""))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IF([10]回答表!X49="●",[10]回答表!G464,IF([10]回答表!AA49="●",[10]回答表!G481,""))</f>
        <v/>
      </c>
      <c r="AN273" s="120"/>
      <c r="AO273" s="120"/>
      <c r="AP273" s="120"/>
      <c r="AQ273" s="120"/>
      <c r="AR273" s="120"/>
      <c r="AS273" s="120"/>
      <c r="AT273" s="121"/>
      <c r="AU273" s="119" t="str">
        <f>IF([10]回答表!X49="●",[10]回答表!G465,IF([10]回答表!AA49="●",[10]回答表!G482,""))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IF([10]回答表!X49="●",[10]回答表!E468,IF([10]回答表!AA49="●",[10]回答表!E485,""))</f>
        <v/>
      </c>
      <c r="BG274" s="84"/>
      <c r="BH274" s="84"/>
      <c r="BI274" s="84"/>
      <c r="BJ274" s="83" t="str">
        <f>IF([10]回答表!X49="●",[10]回答表!E469,IF([10]回答表!AA49="●",[10]回答表!E486,""))</f>
        <v/>
      </c>
      <c r="BK274" s="84"/>
      <c r="BL274" s="84"/>
      <c r="BM274" s="87"/>
      <c r="BN274" s="83" t="str">
        <f>IF([10]回答表!X49="●",[10]回答表!E470,IF([10]回答表!AA49="●",[10]回答表!E487,""))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IF([10]回答表!AA49="●","●","")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IF([10]回答表!AD49="●","●","")</f>
        <v/>
      </c>
      <c r="O283" s="99"/>
      <c r="P283" s="99"/>
      <c r="Q283" s="100"/>
      <c r="R283" s="38"/>
      <c r="S283" s="38"/>
      <c r="T283" s="38"/>
      <c r="U283" s="107" t="str">
        <f>IF([10]回答表!AD49="●",[10]回答表!B492,"")</f>
        <v/>
      </c>
      <c r="V283" s="108"/>
      <c r="W283" s="108"/>
      <c r="X283" s="108"/>
      <c r="Y283" s="108"/>
      <c r="Z283" s="108"/>
      <c r="AA283" s="108"/>
      <c r="AB283" s="108"/>
      <c r="AC283" s="108"/>
      <c r="AD283" s="108"/>
      <c r="AE283" s="108"/>
      <c r="AF283" s="108"/>
      <c r="AG283" s="108"/>
      <c r="AH283" s="108"/>
      <c r="AI283" s="108"/>
      <c r="AJ283" s="109"/>
      <c r="AK283" s="49"/>
      <c r="AL283" s="49"/>
      <c r="AM283" s="107" t="str">
        <f>IF([10]回答表!AD49="●",[10]回答表!B498,"")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IF([10]回答表!R50="●",[10]回答表!B511,"")</f>
        <v>　現行の経営体制・手法で健全な事業運営が実施できているため。
　現状の事業規模と将来的な規模拡大の可能性を鑑み、抜本的な改革の検討に至らないため。</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