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13_ncr:1_{355AAA8F-955F-4F7C-BCD7-3ED08F23229A}" xr6:coauthVersionLast="46" xr6:coauthVersionMax="46" xr10:uidLastSave="{00000000-0000-0000-0000-000000000000}"/>
  <bookViews>
    <workbookView xWindow="10860" yWindow="885" windowWidth="14985" windowHeight="13875" xr2:uid="{DC7DEB4B-1883-48C2-A361-76171192122D}"/>
  </bookViews>
  <sheets>
    <sheet name="水道" sheetId="1" r:id="rId1"/>
    <sheet name="下水道（公共下水道）" sheetId="2" r:id="rId2"/>
    <sheet name="下水道（特定環境保全公共下水道）" sheetId="3" r:id="rId3"/>
    <sheet name="下水道（農業集落排水施設）" sheetId="4" r:id="rId4"/>
    <sheet name="下水道（特定地域排水処理施設）" sheetId="5" r:id="rId5"/>
    <sheet name="介護サービス（指定介護老人福祉施設）" sheetId="6" r:id="rId6"/>
    <sheet name="介護サービス（老人短期入所施設）" sheetId="7" r:id="rId7"/>
    <sheet name="介護サービス（老人デイサービスセンター）" sheetId="8"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xlnm.Print_Area" localSheetId="1">'下水道（公共下水道）'!$A$1:$BS$315</definedName>
    <definedName name="_xlnm.Print_Area" localSheetId="2">'下水道（特定環境保全公共下水道）'!$A$1:$BS$315</definedName>
    <definedName name="_xlnm.Print_Area" localSheetId="4">'下水道（特定地域排水処理施設）'!$A$1:$BS$315</definedName>
    <definedName name="_xlnm.Print_Area" localSheetId="3">'下水道（農業集落排水施設）'!$A$1:$BS$315</definedName>
    <definedName name="_xlnm.Print_Area" localSheetId="5">'介護サービス（指定介護老人福祉施設）'!$A$1:$BS$315</definedName>
    <definedName name="_xlnm.Print_Area" localSheetId="7">'介護サービス（老人デイサービスセンター）'!$A$1:$BS$315</definedName>
    <definedName name="_xlnm.Print_Area" localSheetId="6">'介護サービス（老人短期入所施設）'!$A$1:$BS$315</definedName>
    <definedName name="_xlnm.Print_Area" localSheetId="0">水道!$A$1:$BS$315</definedName>
    <definedName name="業種名" localSheetId="1">[1]選択肢!$K$2:$K$19</definedName>
    <definedName name="業種名" localSheetId="2">[2]選択肢!$K$2:$K$19</definedName>
    <definedName name="業種名" localSheetId="4">[3]選択肢!$K$2:$K$19</definedName>
    <definedName name="業種名" localSheetId="3">[4]選択肢!$K$2:$K$19</definedName>
    <definedName name="業種名" localSheetId="5">[5]選択肢!$K$2:$K$19</definedName>
    <definedName name="業種名" localSheetId="7">[6]選択肢!$K$2:$K$19</definedName>
    <definedName name="業種名" localSheetId="6">[7]選択肢!$K$2:$K$19</definedName>
    <definedName name="業種名">[8]選択肢!$K$2:$K$19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<sst xmlns="http://schemas.openxmlformats.org/spreadsheetml/2006/main" count="1496" uniqueCount="85">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</sst>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0" xfId="0" applyFont="1" applyAlignment="1">
      <alignment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12" fillId="2" borderId="0" xfId="0" applyFont="1" applyFill="1" applyAlignment="1"/>
    <xf numFmtId="0" fontId="12" fillId="2" borderId="6" xfId="0" applyFont="1" applyFill="1" applyBorder="1" applyAlignment="1"/>
    <xf numFmtId="0" fontId="13" fillId="2" borderId="0" xfId="0" applyFont="1" applyFill="1">
      <alignment vertical="center"/>
    </xf>
    <xf numFmtId="0" fontId="15" fillId="0" borderId="0" xfId="0" applyFont="1" applyAlignment="1"/>
    <xf numFmtId="0" fontId="16" fillId="2" borderId="0" xfId="0" applyFont="1" applyFill="1">
      <alignment vertical="center"/>
    </xf>
    <xf numFmtId="0" fontId="17" fillId="2" borderId="0" xfId="0" applyFont="1" applyFill="1">
      <alignment vertical="center"/>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22" fillId="2" borderId="0" xfId="0" applyFont="1" applyFill="1" applyAlignment="1">
      <alignment vertical="center" wrapText="1"/>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26" fillId="2" borderId="0" xfId="0" applyFont="1" applyFill="1">
      <alignment vertical="center"/>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19" fillId="2" borderId="6" xfId="0" applyFont="1" applyFill="1" applyBorder="1">
      <alignment vertical="center"/>
    </xf>
    <xf numFmtId="0" fontId="13" fillId="2" borderId="8" xfId="0" applyFont="1" applyFill="1" applyBorder="1" applyAlignment="1">
      <alignment horizontal="center" vertical="center"/>
    </xf>
    <xf numFmtId="0" fontId="15" fillId="2" borderId="0" xfId="0" applyFont="1" applyFill="1" applyAlignment="1">
      <alignment horizontal="left" vertical="center" wrapText="1"/>
    </xf>
    <xf numFmtId="0" fontId="23" fillId="2" borderId="0" xfId="0" applyFont="1" applyFill="1" applyAlignment="1">
      <alignment horizontal="left" vertical="center"/>
    </xf>
    <xf numFmtId="0" fontId="11" fillId="2" borderId="0" xfId="0" applyFont="1" applyFill="1">
      <alignment vertical="center"/>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1" fillId="0" borderId="0" xfId="0" applyFont="1" applyAlignment="1">
      <alignment horizontal="left" vertical="center"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5" fillId="2" borderId="10" xfId="0" applyFont="1" applyFill="1" applyBorder="1" applyAlignment="1">
      <alignment horizontal="left"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16" fillId="0" borderId="1" xfId="0" quotePrefix="1" applyFont="1" applyBorder="1" applyAlignment="1">
      <alignment horizontal="center" vertical="center" wrapText="1"/>
    </xf>
    <xf numFmtId="0" fontId="15" fillId="2" borderId="3" xfId="0" applyFont="1" applyFill="1" applyBorder="1" applyAlignment="1">
      <alignment horizontal="left" wrapText="1"/>
    </xf>
    <xf numFmtId="0" fontId="15" fillId="2" borderId="8" xfId="0" applyFont="1" applyFill="1" applyBorder="1" applyAlignment="1">
      <alignment horizontal="left"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5" fillId="2" borderId="0" xfId="0" applyFont="1" applyFill="1" applyAlignment="1">
      <alignment horizontal="left"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3"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3" fillId="0" borderId="1" xfId="0" applyFont="1" applyBorder="1" applyAlignment="1">
      <alignment horizontal="center" vertical="center" wrapText="1" shrinkToFit="1"/>
    </xf>
    <xf numFmtId="0" fontId="24" fillId="0" borderId="10" xfId="0" applyFont="1" applyBorder="1">
      <alignment vertical="center"/>
    </xf>
    <xf numFmtId="0" fontId="24" fillId="0" borderId="12" xfId="0" applyFont="1" applyBorder="1">
      <alignmen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5" fillId="0" borderId="10" xfId="0" applyFont="1" applyBorder="1">
      <alignment vertical="center"/>
    </xf>
    <xf numFmtId="0" fontId="25" fillId="0" borderId="12" xfId="0" applyFont="1" applyBorder="1">
      <alignment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3" fillId="0" borderId="1" xfId="0" applyFont="1" applyBorder="1" applyAlignment="1">
      <alignment horizontal="center"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6" fillId="0" borderId="2" xfId="0" applyFont="1" applyBorder="1" applyAlignment="1">
      <alignment horizontal="center" vertical="center" shrinkToFit="1"/>
    </xf>
  </cellXfs>
  <cellStyles count="1">
    <cellStyle name="標準" xfId="0" builtinId="0"/>
  </cellStyles>
  <dxfs count="1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externalLink" Target="externalLinks/externalLink5.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externalLink" Target="externalLinks/externalLink4.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externalLink" Target="externalLinks/externalLink8.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3.xml" />
  <Relationship Id="rId5" Type="http://schemas.openxmlformats.org/officeDocument/2006/relationships/worksheet" Target="worksheets/sheet5.xml" />
  <Relationship Id="rId15" Type="http://schemas.openxmlformats.org/officeDocument/2006/relationships/externalLink" Target="externalLinks/externalLink7.xml" />
  <Relationship Id="rId10" Type="http://schemas.openxmlformats.org/officeDocument/2006/relationships/externalLink" Target="externalLinks/externalLink2.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externalLink" Target="externalLinks/externalLink1.xml" />
  <Relationship Id="rId14" Type="http://schemas.openxmlformats.org/officeDocument/2006/relationships/externalLink" Target="externalLinks/externalLink6.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B1720D7-F777-4D44-BCF0-43D8DDC8642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6DBC405-4378-4632-85F1-34F4AF69482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87E52ED-36C5-4CDA-971D-67FCF98E9A6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2CD84B8-F2FA-4662-946C-F8C547B11DBB}"/>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793912D-62AE-4AC8-8658-2EFBB278005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9877252-A1D9-4DF7-83F6-A6A2C292D49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2EB34FC-D9D7-46F2-8AF2-FC701C5D6F1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234479D-72DE-4D20-BF85-3AA7D84925A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B64BFBF-7B6C-4302-BBA3-8740F685714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EC34B53-084F-41D8-8283-8ECB16C3A05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58F1BC9-22D0-4EED-894A-7DD84344C4B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44AE071-258D-4D77-B3B6-E976FAF432C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BF07C34-49A3-4937-8E5F-362154B5B00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FE2E410-4222-4320-8D75-E866001C934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9BD5A91-E31B-4620-8161-BB9E8742ABE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EF77CCE-4876-4813-A84E-1BF7EF7CBD6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3C0196E-1206-4F22-9681-EED6E5FD47D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5A9A773-6EF4-4D95-A7F7-2A9D5F1E146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F5145FC-0E6B-46ED-AE7B-E91F61CC762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FE800A7-29B4-485F-949C-3B50299115C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785C1E43-9A52-4CC8-AFA3-40DEA1596A2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41AAF11-0CCA-433A-9AC4-1C85C21221D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D4DF753-B747-42E6-BC25-F61886ACF8E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12BDFB9-22E7-4127-A54C-013D8B7ACA5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4144124-8B9B-461A-9CFC-5D881158252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E9B0206-D2AF-4BBB-A524-1EEF17A4350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B7B2E02-DF0D-4243-8769-7DD16037E88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B699137-A93C-4293-9ADE-9570C77F301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C49049F-962E-48F1-94DD-87F91113F3F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5C9BCE4-2FD7-4AB9-9F30-7057BEA4674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3714FEF-5684-45CD-AC01-4538969C2F3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D325367-EDC6-41D5-B7D8-4322120511D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7D23FEC-25C2-4487-8815-6E388937B75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84E30B1-66BA-4147-AE19-CC47B2FBD52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83E0FC4-12C9-4D58-964C-6C2F10E4CB6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94E9B15-BFF2-4DFF-9232-7B1A24ECE7B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3E040DE-6814-485F-9FA2-85138F1B21C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F4014FB-FCEE-477D-83EA-1BB9C8F65C6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67304E2-DA10-404F-BA6B-4D7B7A3A8CB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634B9FB-E87B-4707-90EC-73A6A64FBD9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7B6A871-8422-447F-AEC5-9442F51E9A7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2EA8229-72A8-4114-A893-81E566DC140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5036204-B4EF-4DF3-B2EA-CEC419BDB0A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CB56C26-E78B-47E6-918D-6FD25BBD53E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2C4BC75-7601-415A-99E1-1320016ED88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C0F62DF-D189-4939-8271-A9D996641C5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6243BDE-5A12-41F6-85C6-D2240D11FF9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ECECCBA-FE32-474D-B9D6-1B818BCC01D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8D48540-8D09-4217-B628-060AEB4B2A7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3A63E87-D31F-4D0C-ACBE-23AE908E9E0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EFB416D-EB29-477E-A298-3ED0626EEAA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DE96991-22E7-426B-A9D9-5B12B7F11F3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051769B-11A9-4964-AB4D-E2B7C624E5A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0C4E1AD-8510-4B37-AD69-7A96028EC1B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79C0650-4A56-4FCA-8AA6-0B3D3674E10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46888ED-3C08-43C3-8BCE-5D51141B6D5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0A6F724-651B-4FCD-B641-DB26551D5DD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FE4CD5F-7ECB-4E52-9D58-9ABD480AFDA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03FF359-0A19-44FE-A346-4C091A57C4C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09856F5-B1B5-4904-B077-1947FA178DC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E71FCCA-EB45-4AFF-AD6E-8F74BB44355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7FA2982D-ACF7-46F2-B32A-ACBD864D6B9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4EDB471E-4C59-4D32-9AF2-40197EBAFE6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C2E7847-3DA6-4213-AEA7-3DC9C39A91DB}"/>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A9E6E17-8596-4601-9264-3399217A2B5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8444BF6-8B8B-4E72-8827-FA63B297899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8B557ED-ED18-4A8D-AA74-CCF4684B68F3}"/>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5072725-9722-4C88-91B5-E37DF8A726F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6E986F6-4E3D-41B9-A3D0-04653258F1B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5A0F5BE-DDB7-45CB-96CD-39FA7C17CA1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F03888E-0B02-4EE1-8AD2-2AD40166731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E50A522-0DB1-4CC7-936B-BD1CD694923F}"/>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FE74C71-5F89-4CB1-B9AB-5DB5ECB8CB4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E77F6C7-A806-4270-ADC4-1BA8D0800E5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1039BD9-F237-469A-A7C6-65576166B64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055438A-AF8C-41AD-A9EB-8EF55CCDD1F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1F95B4B-EEB0-41CF-B162-7140B3D49BF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A422572-01FC-45DD-A514-384F0BCE22C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09A4BDC-F1B9-4702-A495-312F59EAA93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C10D946-4BF9-4AA0-9C46-2AE874736C8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2EDF372-50EE-4881-B0A0-03CDAD9AD63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C0B8225-2677-490D-9474-9EE5A454A8C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7C471AB-331C-4D80-A6DC-C6DD3088077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7C8CBA9-C1F2-4D27-AB6D-75C9E9D2D95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9737302-7FF1-467C-925C-C009D8F277C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39D6EEE-00D3-4A4D-9E94-0C139708503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B1837B6-A71A-4C3B-BAA4-AFE1F58326A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8DF9F62-02A8-4C8A-B3F7-16ABA1C1C13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D4CB2A5-A86A-4515-B048-523BB45EAD2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14CC9F8-9E2A-4506-9433-07BF8503DCE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A0AC107-FBBF-49D1-A0FC-C88048911769}"/>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93DD760-D191-4326-B10B-B08F0ABEDB5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0624E4C-8F21-4D16-A8C2-2E5416C1A4A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B649D78-848D-4936-B8E2-38FCFC77367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BA53556-0AB1-4A05-AD39-00128401468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742F94E-1D16-422F-A8BA-FA345748C35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C899466-53AD-45FD-95DB-5B22E3B0918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D340161-719B-4609-B6E9-9BED4E5EC52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918CEC6-751B-458F-99B0-C912EEB0B22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6FEE408-239C-4242-A442-63B297CA817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67AB920-F582-4A49-B4D0-8A6ECBA4944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95D159A-0636-4629-935B-DBAC9C43EED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BE35F8F-0D49-4D78-998F-D71364B5FF8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C3E78FE-7D5D-461E-88F1-DFEA70E1D02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22B8BB6-BB79-4AE4-AE72-A1D0D1DBA6B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1ADAC85-8C28-4D55-A9C1-34392A471D9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1DC691C-7A1B-4F45-B6A5-A9956569BCC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3C3CFECD-D609-4CCB-A258-1ACA5D3C459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F1F35E7-5D65-4E91-838C-4167EB49BC9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6D87D2A-DF8C-4BC8-B6CF-88068D36A0B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8990AB1-9A16-40C5-BE8E-53239B9DD89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8233AAF-E724-4A4F-9E52-0D2EC3BF473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1E03918-33EF-45D2-9FE4-60C3B259149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F2D2F26-D9FA-46B8-8E5D-4E2860978A5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D58AD3A-D6C0-42AF-9275-639D0AFC1C3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5BC6D26-BF99-4916-94D0-990244A6969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035FABF-3B6D-41C0-A0FE-E1B6A5C2B60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322D022-CC98-45F2-89B0-4051791B517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2783E9D-742B-4BF1-8994-6DBA74396F5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0339483-C13C-43A3-B2A0-AA77BCA24AA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3DB167F-462A-4364-A2CB-2B59E825A3F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C7F4B3A-DDF1-42A4-9AF9-E2A5B018E39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D29D282-7EEA-4651-9965-DDBFB572863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5A97C79-57D9-4204-B014-AEFB926D854D}"/>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4E6CAAC-34C8-4DCF-BD30-876D8674F3B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55AADC2-49A6-410B-B483-66D64AE4AA9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76E3172-743C-45ED-9B67-0C2630A0BFB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58E3065-B695-4805-89E2-E427B150C36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C938683-4F9D-423E-8FA0-6E04E973C65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B69BD25-7E7E-46AE-8709-CF85B8C5F80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25A7DB0-28F1-48B9-984E-D7C66CCBF8A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63CF7F3-4C57-4CFC-8648-45A6D232D74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CE9DCF0-D59D-44F1-B77A-B320776C450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4DACC38-43CE-44E6-8AF8-2BBA59181CB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48A34C7-0149-457F-A3E9-A9862E3515A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FCA6D04-9488-41E4-96C6-86B84EE8300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8176D2C-13D0-4CEF-A3B3-8CC4833F3E1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C4D4C7F-E879-4CFE-9E76-368A8DC898D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6C9B4D3-58E4-41AB-B577-0366DA586E5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871EAC6-11C5-4EA8-912F-B672F9E066B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7827425-17BD-4C41-AB41-4345E2F0012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B27D45E-58DF-40A5-B338-65679AA5B2D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AF21FB8-5DFC-4115-B6D5-9A0A58B6F0CB}"/>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3371064-4D7A-4C84-B224-0C421309C8E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343B663-602B-4A8F-BD1B-E667D3B178F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40CAB82-DB83-4E6E-80A1-CDB2099BB5D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738C2E9-628F-41BF-8B61-C6A72B00FDD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7C76B64-F8AA-4A7C-BFEE-F3D3D24D821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98ACF56-4426-4779-95D1-25FB5E8C9E7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87A8377-E099-49FA-9206-FC2D86DA199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BD4F8B4-23E4-454C-AB50-9EB9D1588D9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04438A2-F461-499C-956B-D3A75C5904D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1350596-7826-467D-B512-5ABC8E46003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626E6A2-69F6-4F3A-9887-B4E36077F14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E91AEE1-C2D2-47AA-AE00-FD3BD775B10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7C7D171-6849-40A1-B165-C1DEE83CBF6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90F7EE5-8D6B-48A0-B426-A3DE6800871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A5F5B53-7132-4FDD-A468-CC133F72201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2FCFF9D-9200-4D6A-9A3E-C3926419F6B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FC55F26-74BE-482E-82A2-FBC50BE0EA8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1035AE2-1B52-465F-9018-B89782DD05F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F218E01-0DD5-497F-A13B-1EA28011B89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CD1F1C7-906A-499C-83E4-946399B6BBF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CD8DACB-7B37-4D52-B52B-C947336DDF7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598C061-C331-45CA-B9AE-0749F24E2A5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0F44ECA-56A8-44B5-A871-44417FFBB65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218D6D0-48A6-44DD-9166-32D10CB602C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D8386E6-BF74-41A5-B17A-F5265D33BC9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6BA5161-04B4-493C-86E8-8CDE3739FCF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7FD041D-79E9-4378-B10D-94D5E3CD765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CDFB352-266F-4004-BC14-10A94C81AAD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66994DD-F877-485F-8590-0D836C3C3E8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28C1F06-7325-4580-8075-89BE895DE1F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820FD09-DEFB-43D7-9275-638A4A3E420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962C07DC-F342-4AA2-85E3-6A36B86292E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515FBD2-664A-434B-A6F1-9D34EC1E785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D86779F-16C2-4389-9D0F-6F58069EFF6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6A46317-1973-4A6C-8666-73BDFD0BEF7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AB8EB32-DEFB-4258-AC78-AC0278D3981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1B48D8F-6D8D-437D-B839-AB294A3C9C4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63816E4-7B37-4A60-94DD-1DD3D1E4514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B9B03AF-79DA-4EED-8E74-4A5DA29931A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B7AB6FD-8BAB-46E8-922A-4588F5B6E72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A3D91EA-840D-4767-A53F-4FF276A7B0E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CC73AD2-7895-499A-92DF-963630EAAC7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68B346D-ECE9-4441-9679-91E91618478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BF27925-A462-49DA-8DB0-E5C193604C3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E15B56B8-A7A1-41F8-A442-A08AFCE0516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BBD09C9-FDFD-4304-B41F-FA8935B1687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0C9B471-A11A-47C3-9965-C68C3A5E9083}"/>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287C3D6-FDE2-444B-A79F-F67C3BFB2C6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445D259-42C9-46FD-837F-2C719772D98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F4BA70C-220C-4DD3-AFA2-4F903D561AD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1170F88-E38D-4FEF-ADA4-02ACFA4B320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6378A18-CD90-4F7B-BA33-718B05A8224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30FE231-781D-4B71-90A5-CB7A0E9CB90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C355457-6B30-4554-8B43-508A43BAC0C6}"/>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8A81CBB-AC9A-4B0F-8E00-3E17FDE9D2B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F64D6F8-9431-4368-93A2-33688AE1310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5E309EC-4132-4306-A4FD-A00DD9C321A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現在、県外施設で汚泥処理を行っているが、民間企業であるために相手方の都合により受入れ不能になる危険性もあり、他の受入れ先確保が厳しい状況であった。今後、秋田県が主体となっている県南地区広域汚泥資源化事業に参加することにより、県内処理施設で長期的・安定的に汚泥の受入れ先を確保でき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v>
          </cell>
        </row>
        <row r="274">
          <cell r="Y274" t="str">
            <v xml:space="preserve"> </v>
          </cell>
        </row>
        <row r="275">
          <cell r="Y275" t="str">
            <v xml:space="preserve"> </v>
          </cell>
        </row>
        <row r="278">
          <cell r="B278" t="str">
            <v>令和</v>
          </cell>
          <cell r="E278">
            <v>7</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公共下水道の浄化センター１箇所及びマンホールポンプ施設を対象とし、施設管理及び管理運営業務の他、ユーティリティの調達及び１３０万円未満の保守修繕業務を委託。施設管理業務やユーティリティの調達コスト等の節減により、公共・特環施設等合計で当初契約金額比（税抜き）３,０４０,０００円節減できた。</v>
          </cell>
        </row>
        <row r="362">
          <cell r="B362" t="str">
            <v>施設が通常の運転を行うことができる機能を有し、業務開始時に確認した施設機能に比べて著しい損傷及び劣化がない状態とすること。
建築物は外構植栽等の保守点検や清掃について現状と比べて美観を損なわない程度で行うこと
放流水等は水質汚濁防止法及び条例、その他関係法令に定める遵守基準を確保すること。</v>
          </cell>
        </row>
        <row r="368">
          <cell r="B368" t="str">
            <v>平成</v>
          </cell>
          <cell r="E368">
            <v>28</v>
          </cell>
        </row>
        <row r="369">
          <cell r="E369">
            <v>3</v>
          </cell>
        </row>
        <row r="370">
          <cell r="E370">
            <v>15</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現在、県外施設で汚泥処理を行っているが、民間企業であるために相手方の都合により受入れ不能になる危険性もあり、他の受入れ先確保が厳しい状況であった。今後、秋田県が主体となっている県南地区広域汚泥資源化事業に参加することにより、県内処理施設で長期的・安定的に汚泥の受入れ先を確保でき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v>
          </cell>
        </row>
        <row r="274">
          <cell r="Y274" t="str">
            <v xml:space="preserve"> </v>
          </cell>
        </row>
        <row r="275">
          <cell r="Y275" t="str">
            <v xml:space="preserve"> </v>
          </cell>
        </row>
        <row r="278">
          <cell r="B278" t="str">
            <v>令和</v>
          </cell>
          <cell r="E278">
            <v>7</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公共下水道の浄化センター１箇所及びマンホールポンプ施設を対象とし、施設管理及び管理運営業務の他、ユーティリティの調達及び１３０万円未満の保守修繕業務を委託。施設管理業務やユーティリティの調達コスト等の節減により、公共・特環施設等合計で当初契約金額比（税抜き）１,５５０,０００円節減できた。</v>
          </cell>
        </row>
        <row r="362">
          <cell r="B362" t="str">
            <v>施設が通常の運転を行うことができる機能を有し、業務開始時に確認した施設機能に比べて著しい損傷及び劣化がない状態とすること。
建築物は外構植栽等の保守点検や清掃について現状と比べて美観を損なわない程度で行うこと
放流水等は水質汚濁防止法及び条例、その他関係法令に定める遵守基準を確保すること。</v>
          </cell>
        </row>
        <row r="368">
          <cell r="B368" t="str">
            <v>平成</v>
          </cell>
          <cell r="E368">
            <v>28</v>
          </cell>
        </row>
        <row r="369">
          <cell r="E369">
            <v>3</v>
          </cell>
        </row>
        <row r="370">
          <cell r="E370">
            <v>15</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特排の施設管理運営業務の他、ユーティリティの調達及び５０万円未満の保守修繕業務を検討中。</v>
          </cell>
        </row>
        <row r="398">
          <cell r="B398" t="str">
            <v>浄化槽清掃業者の包括的民間委託制度に対する理解が必要不可欠となる。</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平成６年供用開始し、２０年経過していた旧山田中央浄化センターについて、平成２８年から平成２９年度の管渠工事等を行い、近隣にある山田東部浄化センターに流入させて施設の統合を図った。（平成２９年度より）</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v>
          </cell>
        </row>
        <row r="195">
          <cell r="Y195" t="str">
            <v>●</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v>
          </cell>
        </row>
        <row r="207">
          <cell r="Y207" t="str">
            <v xml:space="preserve"> </v>
          </cell>
        </row>
        <row r="208">
          <cell r="Y208" t="str">
            <v xml:space="preserve"> </v>
          </cell>
        </row>
        <row r="209">
          <cell r="Y209" t="str">
            <v xml:space="preserve"> </v>
          </cell>
        </row>
        <row r="212">
          <cell r="B212" t="str">
            <v>平成</v>
          </cell>
          <cell r="E212">
            <v>30</v>
          </cell>
        </row>
        <row r="213">
          <cell r="E213">
            <v>3</v>
          </cell>
        </row>
        <row r="214">
          <cell r="E214">
            <v>31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稼働中の農業集落排水処理施設４箇所及びマンホールポンプ施設を対象とした施設管理運営業務の他、ユーティリティの調達及び５０万円未満の保守修繕業務を検討中。</v>
          </cell>
        </row>
        <row r="398">
          <cell r="B398" t="str">
            <v>現在、一部業務を管理委託している任意組合の包括的民間委託に対する理解が必要不可欠である。</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介護サービス事業</v>
          </cell>
          <cell r="W17" t="str">
            <v>指定介護老人福祉施設</v>
          </cell>
          <cell r="BD17" t="str">
            <v>●</v>
          </cell>
        </row>
        <row r="19">
          <cell r="F19" t="str">
            <v>介護サービス特別会計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　特別養護老人ホーム事業について雄勝福祉会（現：雄勝なごみ会）に譲渡。
　施設譲渡による市有財産の縮減や、複合サービス提供に係る施設管理費や人件費等313,820千円の経費節減が図られ、職員の配置替えにより他の住民サービス業務の充実が可能となった。
　また、利用者はこれまで同様のサービスを同一施設で受けながら、民間事業者の育成にも寄与することとなった。</v>
          </cell>
        </row>
        <row r="121">
          <cell r="J121" t="str">
            <v>●</v>
          </cell>
          <cell r="S121" t="str">
            <v>平成</v>
          </cell>
          <cell r="V121">
            <v>28</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介護サービス事業</v>
          </cell>
          <cell r="W17" t="str">
            <v>老人デイサービスセンター</v>
          </cell>
          <cell r="BD17" t="str">
            <v>●</v>
          </cell>
        </row>
        <row r="19">
          <cell r="F19" t="str">
            <v>介護サービス特別会計</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　デイサービス事業について、平成28年３月31日をもって事業廃止した。施設譲渡による市有財産の縮減や、複合サービス提供に係る施設管理費や人件費等313,820千円の経費節減が図られ、職員の配置替えにより他の住民サービス業務の充実が可能となった。また、利用者はこれまで同様のサービスを他の民間事業所で受益できており、民間事業者の育成にも寄与することとなった。</v>
          </cell>
        </row>
        <row r="65">
          <cell r="G65" t="str">
            <v>●</v>
          </cell>
          <cell r="S65" t="str">
            <v>平成</v>
          </cell>
          <cell r="V65">
            <v>28</v>
          </cell>
        </row>
        <row r="66">
          <cell r="G66" t="str">
            <v xml:space="preserve"> </v>
          </cell>
          <cell r="V66">
            <v>3</v>
          </cell>
        </row>
        <row r="67">
          <cell r="V67">
            <v>31</v>
          </cell>
        </row>
        <row r="71">
          <cell r="O71" t="str">
            <v xml:space="preserve"> </v>
          </cell>
          <cell r="AG71" t="str">
            <v xml:space="preserve"> </v>
          </cell>
        </row>
        <row r="72">
          <cell r="O72" t="str">
            <v xml:space="preserve"> </v>
          </cell>
          <cell r="AG72" t="str">
            <v xml:space="preserve"> </v>
          </cell>
        </row>
        <row r="73">
          <cell r="O73" t="str">
            <v xml:space="preserve"> </v>
          </cell>
        </row>
        <row r="74">
          <cell r="O74" t="str">
            <v>●</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介護サービス事業</v>
          </cell>
          <cell r="W17" t="str">
            <v>老人短期入所施設</v>
          </cell>
          <cell r="BD17" t="str">
            <v>●</v>
          </cell>
        </row>
        <row r="19">
          <cell r="F19" t="str">
            <v>介護サービス特別会計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　短期入所生活介護事業について雄勝福祉会（現：雄勝なごみ会）に譲渡。
　施設譲渡による市有財産の縮減や、複合サービス提供に係る施設管理費や人件費等313,820千円の経費節減が図られ、職員の配置替えにより他の住民サービス業務の充実が可能となった。
　また、利用者はこれまで同様のサービスを同一施設で受けながら、民間事業者の育成にも寄与することとなった。</v>
          </cell>
        </row>
        <row r="121">
          <cell r="J121" t="str">
            <v>●</v>
          </cell>
          <cell r="S121" t="str">
            <v>平成</v>
          </cell>
          <cell r="V121">
            <v>28</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湯沢市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29年度より上水道施設及び簡易水道施設の維持管理・運営を民間に委託し、3年委託により、35,436千円の経費を削減した。令和2年度より5年委託を更新した。また、上下水道料金徴収等業務についても令和2年度より5年委託を実施している。</v>
          </cell>
        </row>
        <row r="362">
          <cell r="B362" t="str">
            <v>上水道施設及び簡易水道施設の維持管理・運営：運転管理、保守点検委託、水質検査委託、ユーティリティー管理、軽微な修繕、電気保安業務、膜洗浄業務、休日夜間の電話対応、施設見学視察等の説明
上下水道料金徴収等業務：窓口業務、 開閉栓業務、 検針・調査業務、 収納・調定業務、 滞納整理及び給水停止業務、 量水器交換業務、量水器管理等業務、給水装置の管理業務、排水設備の管理業務、下水道負担金等調定収納業務等、にごり水等への対応業務、電子計算業務（料金システムを含む）　</v>
          </cell>
        </row>
        <row r="368">
          <cell r="B368" t="str">
            <v>平成</v>
          </cell>
          <cell r="E368">
            <v>29</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C8ED-60A3-4272-85E2-DE17AB82A8AD}">
  <sheetPr>
    <pageSetUpPr fitToPage="1"/>
  </sheetPr>
  <dimension ref="A1:CN315"/>
  <sheetViews>
    <sheetView showZeros="0" tabSelected="1" view="pageBreakPreview" zoomScale="55" zoomScaleNormal="55" zoomScaleSheetLayoutView="55" workbookViewId="0">
      <selection activeCell="AN224" sqref="AN224:BB2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IF(COUNTIF([8]回答表!K15,"*")&gt;0,[8]回答表!K15,"")</f>
        <v>湯沢市</v>
      </c>
      <c r="D11" s="299"/>
      <c r="E11" s="299"/>
      <c r="F11" s="299"/>
      <c r="G11" s="299"/>
      <c r="H11" s="299"/>
      <c r="I11" s="299"/>
      <c r="J11" s="299"/>
      <c r="K11" s="299"/>
      <c r="L11" s="299"/>
      <c r="M11" s="299"/>
      <c r="N11" s="299"/>
      <c r="O11" s="299"/>
      <c r="P11" s="299"/>
      <c r="Q11" s="299"/>
      <c r="R11" s="299"/>
      <c r="S11" s="299"/>
      <c r="T11" s="299"/>
      <c r="U11" s="306" t="str">
        <f>IF(COUNTIF([8]回答表!F17,"*")&gt;0,[8]回答表!F17,"")</f>
        <v>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IF(COUNTIF([8]回答表!W17,"*")&gt;0,[8]回答表!W17,"")</f>
        <v>―</v>
      </c>
      <c r="AP11" s="301"/>
      <c r="AQ11" s="301"/>
      <c r="AR11" s="301"/>
      <c r="AS11" s="301"/>
      <c r="AT11" s="301"/>
      <c r="AU11" s="301"/>
      <c r="AV11" s="301"/>
      <c r="AW11" s="301"/>
      <c r="AX11" s="301"/>
      <c r="AY11" s="301"/>
      <c r="AZ11" s="301"/>
      <c r="BA11" s="301"/>
      <c r="BB11" s="301"/>
      <c r="BC11" s="301"/>
      <c r="BD11" s="301"/>
      <c r="BE11" s="301"/>
      <c r="BF11" s="302"/>
      <c r="BG11" s="305" t="str">
        <f>IF(COUNTIF([8]回答表!F19,"*")&gt;0,[8]回答表!F19,"")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IF([8]回答表!R43="●","●","")</f>
        <v/>
      </c>
      <c r="E24" s="123"/>
      <c r="F24" s="123"/>
      <c r="G24" s="123"/>
      <c r="H24" s="123"/>
      <c r="I24" s="123"/>
      <c r="J24" s="124"/>
      <c r="K24" s="122" t="str">
        <f>IF([8]回答表!R44="●","●","")</f>
        <v/>
      </c>
      <c r="L24" s="123"/>
      <c r="M24" s="123"/>
      <c r="N24" s="123"/>
      <c r="O24" s="123"/>
      <c r="P24" s="123"/>
      <c r="Q24" s="124"/>
      <c r="R24" s="122" t="str">
        <f>IF([8]回答表!R45="●","●","")</f>
        <v/>
      </c>
      <c r="S24" s="123"/>
      <c r="T24" s="123"/>
      <c r="U24" s="123"/>
      <c r="V24" s="123"/>
      <c r="W24" s="123"/>
      <c r="X24" s="124"/>
      <c r="Y24" s="122" t="str">
        <f>IF([8]回答表!R46="●","●","")</f>
        <v/>
      </c>
      <c r="Z24" s="123"/>
      <c r="AA24" s="123"/>
      <c r="AB24" s="123"/>
      <c r="AC24" s="123"/>
      <c r="AD24" s="123"/>
      <c r="AE24" s="124"/>
      <c r="AF24" s="122" t="str">
        <f>IF([8]回答表!R47="●","●","")</f>
        <v>●</v>
      </c>
      <c r="AG24" s="123"/>
      <c r="AH24" s="123"/>
      <c r="AI24" s="123"/>
      <c r="AJ24" s="123"/>
      <c r="AK24" s="123"/>
      <c r="AL24" s="124"/>
      <c r="AM24" s="122" t="str">
        <f>IF([8]回答表!R48="●","●","")</f>
        <v/>
      </c>
      <c r="AN24" s="123"/>
      <c r="AO24" s="123"/>
      <c r="AP24" s="123"/>
      <c r="AQ24" s="123"/>
      <c r="AR24" s="123"/>
      <c r="AS24" s="124"/>
      <c r="AT24" s="122" t="str">
        <f>IF([8]回答表!R49="●","●","")</f>
        <v/>
      </c>
      <c r="AU24" s="123"/>
      <c r="AV24" s="123"/>
      <c r="AW24" s="123"/>
      <c r="AX24" s="123"/>
      <c r="AY24" s="123"/>
      <c r="AZ24" s="124"/>
      <c r="BA24" s="18"/>
      <c r="BB24" s="119" t="str">
        <f>IF([8]回答表!R50="●","●","")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IF([8]回答表!X43="●","●","")</f>
        <v/>
      </c>
      <c r="O36" s="99"/>
      <c r="P36" s="99"/>
      <c r="Q36" s="100"/>
      <c r="R36" s="38"/>
      <c r="S36" s="38"/>
      <c r="T36" s="38"/>
      <c r="U36" s="107" t="str">
        <f>IF([8]回答表!X43="●",[8]回答表!B59,IF([8]回答表!AA43="●",[8]回答表!B79,""))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IF([8]回答表!X43="●",[8]回答表!S65,IF([8]回答表!AA43="●",[8]回答表!S85,""))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IF([8]回答表!X43="●",[8]回答表!G65,IF([8]回答表!AA43="●",[8]回答表!G85,""))</f>
        <v/>
      </c>
      <c r="AN38" s="120"/>
      <c r="AO38" s="120"/>
      <c r="AP38" s="120"/>
      <c r="AQ38" s="120"/>
      <c r="AR38" s="120"/>
      <c r="AS38" s="120"/>
      <c r="AT38" s="121"/>
      <c r="AU38" s="119" t="str">
        <f>IF([8]回答表!X43="●",[8]回答表!G66,IF([8]回答表!AA43="●",[8]回答表!G86,""))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IF([8]回答表!X43="●",[8]回答表!V65,IF([8]回答表!AA43="●",[8]回答表!V85,""))</f>
        <v/>
      </c>
      <c r="BG39" s="249"/>
      <c r="BH39" s="249"/>
      <c r="BI39" s="250"/>
      <c r="BJ39" s="83" t="str">
        <f>IF([8]回答表!X43="●",[8]回答表!V66,IF([8]回答表!AA43="●",[8]回答表!V86,""))</f>
        <v/>
      </c>
      <c r="BK39" s="249"/>
      <c r="BL39" s="249"/>
      <c r="BM39" s="250"/>
      <c r="BN39" s="83" t="str">
        <f>IF([8]回答表!X43="●",[8]回答表!V67,IF([8]回答表!AA43="●",[8]回答表!V87,""))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IF([8]回答表!X43="●",[8]回答表!O71,IF([8]回答表!AA43="●",[8]回答表!O91,""))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IF([8]回答表!X43="●",[8]回答表!O72,IF([8]回答表!AA43="●",[8]回答表!O92,""))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IF([8]回答表!AA43="●","●","")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IF([8]回答表!X43="●",[8]回答表!O73,IF([8]回答表!AA43="●",[8]回答表!O93,""))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IF([8]回答表!X43="●",[8]回答表!O74,IF([8]回答表!AA43="●",[8]回答表!O94,""))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IF([8]回答表!X43="●",[8]回答表!AG71,IF([8]回答表!AA43="●",[8]回答表!AG91,""))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IF([8]回答表!X43="●",[8]回答表!AG72,IF([8]回答表!AA43="●",[8]回答表!AG92,""))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IF([8]回答表!AD43="●","●","")</f>
        <v/>
      </c>
      <c r="O51" s="99"/>
      <c r="P51" s="99"/>
      <c r="Q51" s="100"/>
      <c r="R51" s="38"/>
      <c r="S51" s="38"/>
      <c r="T51" s="38"/>
      <c r="U51" s="107" t="str">
        <f>IF([8]回答表!AD43="●",[8]回答表!B99,"")</f>
        <v/>
      </c>
      <c r="V51" s="108"/>
      <c r="W51" s="108"/>
      <c r="X51" s="108"/>
      <c r="Y51" s="108"/>
      <c r="Z51" s="108"/>
      <c r="AA51" s="108"/>
      <c r="AB51" s="108"/>
      <c r="AC51" s="108"/>
      <c r="AD51" s="108"/>
      <c r="AE51" s="108"/>
      <c r="AF51" s="108"/>
      <c r="AG51" s="108"/>
      <c r="AH51" s="108"/>
      <c r="AI51" s="108"/>
      <c r="AJ51" s="109"/>
      <c r="AK51" s="55"/>
      <c r="AL51" s="55"/>
      <c r="AM51" s="107" t="str">
        <f>IF([8]回答表!AD43="●",[8]回答表!B104,"")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IF([8]回答表!X44="●","●","")</f>
        <v/>
      </c>
      <c r="O62" s="99"/>
      <c r="P62" s="99"/>
      <c r="Q62" s="100"/>
      <c r="R62" s="38"/>
      <c r="S62" s="38"/>
      <c r="T62" s="38"/>
      <c r="U62" s="107" t="str">
        <f>IF([8]回答表!X44="●",[8]回答表!B115,IF([8]回答表!AA44="●",[8]回答表!B127,""))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IF([8]回答表!X44="●",[8]回答表!S121,IF([8]回答表!AA44="●",[8]回答表!S133,""))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IF([8]回答表!X44="●",[8]回答表!J121,IF([8]回答表!AA44="●",[8]回答表!J133,""))</f>
        <v/>
      </c>
      <c r="AN65" s="120"/>
      <c r="AO65" s="120"/>
      <c r="AP65" s="120"/>
      <c r="AQ65" s="120"/>
      <c r="AR65" s="120"/>
      <c r="AS65" s="120"/>
      <c r="AT65" s="121"/>
      <c r="AU65" s="119" t="str">
        <f>IF([8]回答表!X44="●",[8]回答表!J122,IF([8]回答表!AA44="●",[8]回答表!J134,""))</f>
        <v/>
      </c>
      <c r="AV65" s="120"/>
      <c r="AW65" s="120"/>
      <c r="AX65" s="120"/>
      <c r="AY65" s="120"/>
      <c r="AZ65" s="120"/>
      <c r="BA65" s="120"/>
      <c r="BB65" s="121"/>
      <c r="BC65" s="39"/>
      <c r="BD65" s="34"/>
      <c r="BE65" s="34"/>
      <c r="BF65" s="83" t="str">
        <f>IF([8]回答表!X44="●",[8]回答表!V121,IF([8]回答表!AA44="●",[8]回答表!V133,""))</f>
        <v/>
      </c>
      <c r="BG65" s="84"/>
      <c r="BH65" s="84"/>
      <c r="BI65" s="84"/>
      <c r="BJ65" s="83" t="str">
        <f>IF([8]回答表!X44="●",[8]回答表!V122,IF([8]回答表!AA44="●",[8]回答表!V134,""))</f>
        <v/>
      </c>
      <c r="BK65" s="84"/>
      <c r="BL65" s="84"/>
      <c r="BM65" s="84"/>
      <c r="BN65" s="83" t="str">
        <f>IF([8]回答表!X44="●",[8]回答表!V123,IF([8]回答表!AA44="●",[8]回答表!V135,""))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IF([8]回答表!AA44="●","●","")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IF([8]回答表!AD44="●","●","")</f>
        <v/>
      </c>
      <c r="O74" s="99"/>
      <c r="P74" s="99"/>
      <c r="Q74" s="100"/>
      <c r="R74" s="38"/>
      <c r="S74" s="38"/>
      <c r="T74" s="38"/>
      <c r="U74" s="107" t="str">
        <f>IF([8]回答表!AD44="●",[8]回答表!B140,"")</f>
        <v/>
      </c>
      <c r="V74" s="108"/>
      <c r="W74" s="108"/>
      <c r="X74" s="108"/>
      <c r="Y74" s="108"/>
      <c r="Z74" s="108"/>
      <c r="AA74" s="108"/>
      <c r="AB74" s="108"/>
      <c r="AC74" s="108"/>
      <c r="AD74" s="108"/>
      <c r="AE74" s="108"/>
      <c r="AF74" s="108"/>
      <c r="AG74" s="108"/>
      <c r="AH74" s="108"/>
      <c r="AI74" s="108"/>
      <c r="AJ74" s="109"/>
      <c r="AK74" s="55"/>
      <c r="AL74" s="55"/>
      <c r="AM74" s="107" t="str">
        <f>IF([8]回答表!AD44="●",[8]回答表!B146,"")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IF([8]回答表!F17="水道事業",IF([8]回答表!X45="●","●",""),"")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IF([8]回答表!F17="水道事業",IF([8]回答表!X45="●",[8]回答表!B158,IF([8]回答表!AA45="●",[8]回答表!B223,"")),"")</f>
        <v/>
      </c>
      <c r="AN86" s="212"/>
      <c r="AO86" s="212"/>
      <c r="AP86" s="212"/>
      <c r="AQ86" s="212"/>
      <c r="AR86" s="212"/>
      <c r="AS86" s="212"/>
      <c r="AT86" s="212"/>
      <c r="AU86" s="212"/>
      <c r="AV86" s="212"/>
      <c r="AW86" s="212"/>
      <c r="AX86" s="212"/>
      <c r="AY86" s="212"/>
      <c r="AZ86" s="212"/>
      <c r="BA86" s="212"/>
      <c r="BB86" s="212"/>
      <c r="BC86" s="213"/>
      <c r="BD86" s="34"/>
      <c r="BE86" s="34"/>
      <c r="BF86" s="116" t="str">
        <f>IF([8]回答表!F17="水道事業",IF([8]回答表!X45="●",[8]回答表!B212,IF([8]回答表!AA45="●",[8]回答表!B278,"")),"")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IF([8]回答表!F17="水道事業",IF([8]回答表!X45="●",[8]回答表!J166,IF([8]回答表!AA45="●",[8]回答表!J231,"")),"")</f>
        <v/>
      </c>
      <c r="V88" s="120"/>
      <c r="W88" s="120"/>
      <c r="X88" s="120"/>
      <c r="Y88" s="120"/>
      <c r="Z88" s="120"/>
      <c r="AA88" s="120"/>
      <c r="AB88" s="121"/>
      <c r="AC88" s="119" t="str">
        <f>IF([8]回答表!F17="水道事業",IF([8]回答表!X45="●",[8]回答表!J173,IF([8]回答表!AA45="●",[8]回答表!J238,"")),"")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IF([8]回答表!F17="水道事業",IF([8]回答表!X45="●",[8]回答表!E212,IF([8]回答表!AA45="●",[8]回答表!E278,"")),"")</f>
        <v/>
      </c>
      <c r="BG89" s="84"/>
      <c r="BH89" s="84"/>
      <c r="BI89" s="84"/>
      <c r="BJ89" s="83" t="str">
        <f>IF([8]回答表!F17="水道事業",IF([8]回答表!X45="●",[8]回答表!E213,IF([8]回答表!AA45="●",[8]回答表!E279,"")),"")</f>
        <v/>
      </c>
      <c r="BK89" s="84"/>
      <c r="BL89" s="84"/>
      <c r="BM89" s="84"/>
      <c r="BN89" s="83" t="str">
        <f>IF([8]回答表!F17="水道事業",IF([8]回答表!X45="●",[8]回答表!E214,IF([8]回答表!AA45="●",[8]回答表!E280,"")),"")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IF([8]回答表!F17="水道事業",IF([8]回答表!AA45="●","●",""),"")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IF([8]回答表!F17="水道事業",IF([8]回答表!X45="●",[8]回答表!J176,IF([8]回答表!AA45="●",[8]回答表!J241,"")),"")</f>
        <v/>
      </c>
      <c r="V93" s="120"/>
      <c r="W93" s="120"/>
      <c r="X93" s="120"/>
      <c r="Y93" s="120"/>
      <c r="Z93" s="120"/>
      <c r="AA93" s="120"/>
      <c r="AB93" s="121"/>
      <c r="AC93" s="119" t="str">
        <f>IF([8]回答表!F17="水道事業",IF([8]回答表!X45="●",[8]回答表!J180,IF([8]回答表!AA45="●",[8]回答表!J245,"")),"")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IF([8]回答表!F17="水道事業",IF([8]回答表!AD45="●","●",""),"")</f>
        <v/>
      </c>
      <c r="O98" s="99"/>
      <c r="P98" s="99"/>
      <c r="Q98" s="100"/>
      <c r="R98" s="38"/>
      <c r="S98" s="38"/>
      <c r="T98" s="38"/>
      <c r="U98" s="107" t="str">
        <f>IF([8]回答表!F17="水道事業",IF([8]回答表!AD45="●",[8]回答表!B289,""),"")</f>
        <v/>
      </c>
      <c r="V98" s="108"/>
      <c r="W98" s="108"/>
      <c r="X98" s="108"/>
      <c r="Y98" s="108"/>
      <c r="Z98" s="108"/>
      <c r="AA98" s="108"/>
      <c r="AB98" s="108"/>
      <c r="AC98" s="108"/>
      <c r="AD98" s="108"/>
      <c r="AE98" s="108"/>
      <c r="AF98" s="108"/>
      <c r="AG98" s="108"/>
      <c r="AH98" s="108"/>
      <c r="AI98" s="108"/>
      <c r="AJ98" s="109"/>
      <c r="AK98" s="55"/>
      <c r="AL98" s="55"/>
      <c r="AM98" s="107" t="str">
        <f>IF([8]回答表!F17="水道事業",IF([8]回答表!AD45="●",[8]回答表!B295,""),"")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IF([8]回答表!F17="簡易水道事業",IF([8]回答表!X45="●",[8]回答表!B158,IF([8]回答表!AA45="●",[8]回答表!B223,"")),"")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IF([8]回答表!F17="簡易水道事業",IF([8]回答表!X45="●",[8]回答表!B212,IF([8]回答表!AA45="●",[8]回答表!B278,"")),"")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IF([8]回答表!F17="簡易水道事業",IF([8]回答表!X45="●","●",""),"")</f>
        <v/>
      </c>
      <c r="O112" s="99"/>
      <c r="P112" s="99"/>
      <c r="Q112" s="100"/>
      <c r="R112" s="38"/>
      <c r="S112" s="38"/>
      <c r="T112" s="38"/>
      <c r="U112" s="119" t="str">
        <f>IF([8]回答表!F17="簡易水道事業",IF([8]回答表!X45="●",[8]回答表!Y185,IF([8]回答表!AA45="●",[8]回答表!Y251,"")),"")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IF([8]回答表!F17="簡易水道事業",IF([8]回答表!X45="●",[8]回答表!E212,IF([8]回答表!AA45="●",[8]回答表!E278,"")),"")</f>
        <v/>
      </c>
      <c r="BG113" s="84"/>
      <c r="BH113" s="84"/>
      <c r="BI113" s="84"/>
      <c r="BJ113" s="83" t="str">
        <f>IF([8]回答表!F17="簡易水道事業",IF([8]回答表!X45="●",[8]回答表!E213,IF([8]回答表!AA45="●",[8]回答表!E279,"")),"")</f>
        <v/>
      </c>
      <c r="BK113" s="84"/>
      <c r="BL113" s="84"/>
      <c r="BM113" s="84"/>
      <c r="BN113" s="83" t="str">
        <f>IF([8]回答表!F17="簡易水道事業",IF([8]回答表!X45="●",[8]回答表!E214,IF([8]回答表!AA45="●",[8]回答表!E280,"")),"")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IF([8]回答表!F17="簡易水道事業",IF([8]回答表!X45="●",[8]回答表!Y186,IF([8]回答表!AA45="●",[8]回答表!Y252,"")),"")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IF([8]回答表!F17="簡易水道事業",IF([8]回答表!AA45="●","●",""),"")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IF([8]回答表!F17="簡易水道事業",IF([8]回答表!X45="●",[8]回答表!Y187,IF([8]回答表!AA45="●",[8]回答表!Y253,"")),"")</f>
        <v/>
      </c>
      <c r="V122" s="120"/>
      <c r="W122" s="120"/>
      <c r="X122" s="120"/>
      <c r="Y122" s="120"/>
      <c r="Z122" s="120"/>
      <c r="AA122" s="120"/>
      <c r="AB122" s="120"/>
      <c r="AC122" s="120"/>
      <c r="AD122" s="120"/>
      <c r="AE122" s="120"/>
      <c r="AF122" s="120"/>
      <c r="AG122" s="120"/>
      <c r="AH122" s="120"/>
      <c r="AI122" s="120"/>
      <c r="AJ122" s="121"/>
      <c r="AK122" s="18"/>
      <c r="AL122" s="18"/>
      <c r="AM122" s="228" t="str">
        <f>IF([8]回答表!F17="簡易水道事業",IF([8]回答表!X45="●",[8]回答表!Y189,IF([8]回答表!AA45="●",[8]回答表!Y255,"")),"")</f>
        <v/>
      </c>
      <c r="AN122" s="228"/>
      <c r="AO122" s="228"/>
      <c r="AP122" s="228"/>
      <c r="AQ122" s="228"/>
      <c r="AR122" s="228"/>
      <c r="AS122" s="228" t="str">
        <f>IF([8]回答表!F17="簡易水道事業",IF([8]回答表!X45="●",[8]回答表!Y190,IF([8]回答表!AA45="●",[8]回答表!Y256,"")),"")</f>
        <v/>
      </c>
      <c r="AT122" s="228"/>
      <c r="AU122" s="228"/>
      <c r="AV122" s="228"/>
      <c r="AW122" s="228"/>
      <c r="AX122" s="228"/>
      <c r="AY122" s="228" t="str">
        <f>IF([8]回答表!F17="簡易水道事業",IF([8]回答表!X45="●",[8]回答表!Y191,IF([8]回答表!AA45="●",[8]回答表!Y257,"")),"")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IF([8]回答表!F17="簡易水道事業",IF([8]回答表!AD45="●","●",""),"")</f>
        <v/>
      </c>
      <c r="O127" s="99"/>
      <c r="P127" s="99"/>
      <c r="Q127" s="100"/>
      <c r="R127" s="38"/>
      <c r="S127" s="38"/>
      <c r="T127" s="38"/>
      <c r="U127" s="107" t="str">
        <f>IF([8]回答表!F17="簡易水道事業",IF([8]回答表!AD45="●",[8]回答表!B289,""),"")</f>
        <v/>
      </c>
      <c r="V127" s="108"/>
      <c r="W127" s="108"/>
      <c r="X127" s="108"/>
      <c r="Y127" s="108"/>
      <c r="Z127" s="108"/>
      <c r="AA127" s="108"/>
      <c r="AB127" s="108"/>
      <c r="AC127" s="108"/>
      <c r="AD127" s="108"/>
      <c r="AE127" s="108"/>
      <c r="AF127" s="108"/>
      <c r="AG127" s="108"/>
      <c r="AH127" s="108"/>
      <c r="AI127" s="108"/>
      <c r="AJ127" s="109"/>
      <c r="AK127" s="55"/>
      <c r="AL127" s="55"/>
      <c r="AM127" s="107" t="str">
        <f>IF([8]回答表!F17="簡易水道事業",IF([8]回答表!AD45="●",[8]回答表!B295,""),"")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IF([8]回答表!F17="下水道事業",IF([8]回答表!X45="●","●",""),"")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IF([8]回答表!F17="下水道事業",IF([8]回答表!X45="●",[8]回答表!B158,IF([8]回答表!AA45="●",[8]回答表!B223,"")),"")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IF([8]回答表!F17="下水道事業",IF([8]回答表!X45="●",[8]回答表!B212,IF([8]回答表!AA45="●",[8]回答表!B278,"")),"")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IF([8]回答表!F17="下水道事業",IF([8]回答表!X45="●",[8]回答表!Y193,IF([8]回答表!AA45="●",[8]回答表!Y259,"")),"")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IF([8]回答表!F17="下水道事業",IF([8]回答表!X45="●",[8]回答表!E212,IF([8]回答表!AA45="●",[8]回答表!E278,"")),"")</f>
        <v/>
      </c>
      <c r="BG142" s="84"/>
      <c r="BH142" s="84"/>
      <c r="BI142" s="84"/>
      <c r="BJ142" s="83" t="str">
        <f>IF([8]回答表!F17="下水道事業",IF([8]回答表!X45="●",[8]回答表!E213,IF([8]回答表!AA45="●",[8]回答表!E279,"")),"")</f>
        <v/>
      </c>
      <c r="BK142" s="84"/>
      <c r="BL142" s="84"/>
      <c r="BM142" s="84"/>
      <c r="BN142" s="83" t="str">
        <f>IF([8]回答表!F17="下水道事業",IF([8]回答表!X45="●",[8]回答表!E214,IF([8]回答表!AA45="●",[8]回答表!E280,"")),"")</f>
        <v/>
      </c>
      <c r="BO142" s="84"/>
      <c r="BP142" s="84"/>
      <c r="BQ142" s="87"/>
      <c r="BR142" s="37"/>
      <c r="BX142" s="211" t="str">
        <f>IF([8]回答表!AQ20="下水道事業",IF([8]回答表!BI48="○",[8]回答表!AM161,IF([8]回答表!BL48="○",[8]回答表!AM226,"")),"")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IF([8]回答表!F17="下水道事業",IF([8]回答表!X45="●",[8]回答表!Y195,IF([8]回答表!AA45="●",[8]回答表!Y261,"")),"")</f>
        <v/>
      </c>
      <c r="V147" s="120"/>
      <c r="W147" s="120"/>
      <c r="X147" s="120"/>
      <c r="Y147" s="120"/>
      <c r="Z147" s="120"/>
      <c r="AA147" s="120"/>
      <c r="AB147" s="121"/>
      <c r="AC147" s="119" t="str">
        <f>IF([8]回答表!F17="下水道事業",IF([8]回答表!X45="●",[8]回答表!Y196,IF([8]回答表!AA45="●",[8]回答表!Y262,"")),"")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IF([8]回答表!F17="下水道事業",IF([8]回答表!X45="●",[8]回答表!Y198,IF([8]回答表!AA45="●",[8]回答表!Y264,"")),"")</f>
        <v/>
      </c>
      <c r="V153" s="120"/>
      <c r="W153" s="120"/>
      <c r="X153" s="120"/>
      <c r="Y153" s="120"/>
      <c r="Z153" s="120"/>
      <c r="AA153" s="120"/>
      <c r="AB153" s="121"/>
      <c r="AC153" s="119" t="str">
        <f>IF([8]回答表!F17="下水道事業",IF([8]回答表!X45="●",[8]回答表!Y199,IF([8]回答表!AA45="●",[8]回答表!Y265,"")),"")</f>
        <v/>
      </c>
      <c r="AD153" s="120"/>
      <c r="AE153" s="120"/>
      <c r="AF153" s="120"/>
      <c r="AG153" s="120"/>
      <c r="AH153" s="120"/>
      <c r="AI153" s="120"/>
      <c r="AJ153" s="121"/>
      <c r="AK153" s="119" t="str">
        <f>IF([8]回答表!F17="下水道事業",IF([8]回答表!X45="●",[8]回答表!Y200,IF([8]回答表!AA45="●",[8]回答表!Y266,"")),"")</f>
        <v/>
      </c>
      <c r="AL153" s="120"/>
      <c r="AM153" s="120"/>
      <c r="AN153" s="120"/>
      <c r="AO153" s="120"/>
      <c r="AP153" s="120"/>
      <c r="AQ153" s="120"/>
      <c r="AR153" s="121"/>
      <c r="AS153" s="119" t="str">
        <f>IF([8]回答表!F17="下水道事業",IF([8]回答表!X45="●",[8]回答表!Y201,IF([8]回答表!AA45="●",[8]回答表!Y267,"")),"")</f>
        <v/>
      </c>
      <c r="AT153" s="120"/>
      <c r="AU153" s="120"/>
      <c r="AV153" s="120"/>
      <c r="AW153" s="120"/>
      <c r="AX153" s="120"/>
      <c r="AY153" s="120"/>
      <c r="AZ153" s="121"/>
      <c r="BA153" s="119" t="str">
        <f>IF([8]回答表!F17="下水道事業",IF([8]回答表!X45="●",[8]回答表!Y202,IF([8]回答表!AA45="●",[8]回答表!Y268,"")),"")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IF([8]回答表!F17="下水道事業",IF([8]回答表!AA45="●","●",""),"")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IF([8]回答表!F17="下水道事業",IF([8]回答表!X45="●",[8]回答表!Y207,IF([8]回答表!AA45="●",[8]回答表!Y273,"")),"")</f>
        <v/>
      </c>
      <c r="V159" s="120"/>
      <c r="W159" s="120"/>
      <c r="X159" s="120"/>
      <c r="Y159" s="120"/>
      <c r="Z159" s="120"/>
      <c r="AA159" s="120"/>
      <c r="AB159" s="121"/>
      <c r="AC159" s="119" t="str">
        <f>IF([8]回答表!F17="下水道事業",IF([8]回答表!X45="●",[8]回答表!Y208,IF([8]回答表!AA45="●",[8]回答表!Y274,"")),"")</f>
        <v/>
      </c>
      <c r="AD159" s="120"/>
      <c r="AE159" s="120"/>
      <c r="AF159" s="120"/>
      <c r="AG159" s="120"/>
      <c r="AH159" s="120"/>
      <c r="AI159" s="120"/>
      <c r="AJ159" s="121"/>
      <c r="AK159" s="119" t="str">
        <f>IF([8]回答表!F17="下水道事業",IF([8]回答表!X45="●",[8]回答表!Y209,IF([8]回答表!AA45="●",[8]回答表!Y275,"")),"")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IF([8]回答表!F17="下水道事業",IF([8]回答表!AD45="●","●",""),"")</f>
        <v/>
      </c>
      <c r="O164" s="99"/>
      <c r="P164" s="99"/>
      <c r="Q164" s="100"/>
      <c r="R164" s="38"/>
      <c r="S164" s="38"/>
      <c r="T164" s="38"/>
      <c r="U164" s="107" t="str">
        <f>IF([8]回答表!F17="下水道事業",IF([8]回答表!AD45="●",[8]回答表!B289,""),"")</f>
        <v/>
      </c>
      <c r="V164" s="108"/>
      <c r="W164" s="108"/>
      <c r="X164" s="108"/>
      <c r="Y164" s="108"/>
      <c r="Z164" s="108"/>
      <c r="AA164" s="108"/>
      <c r="AB164" s="108"/>
      <c r="AC164" s="108"/>
      <c r="AD164" s="108"/>
      <c r="AE164" s="108"/>
      <c r="AF164" s="108"/>
      <c r="AG164" s="108"/>
      <c r="AH164" s="108"/>
      <c r="AI164" s="108"/>
      <c r="AJ164" s="109"/>
      <c r="AK164" s="55"/>
      <c r="AL164" s="55"/>
      <c r="AM164" s="107" t="str">
        <f>IF([8]回答表!F17="下水道事業",IF([8]回答表!AD45="●",[8]回答表!B295,""),"")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IF([8]回答表!BD17="●",IF([8]回答表!X45="●","●",""),"")</f>
        <v/>
      </c>
      <c r="O176" s="99"/>
      <c r="P176" s="99"/>
      <c r="Q176" s="100"/>
      <c r="R176" s="38"/>
      <c r="S176" s="38"/>
      <c r="T176" s="38"/>
      <c r="U176" s="107" t="str">
        <f>IF([8]回答表!BD17="●",IF([8]回答表!X45="●",[8]回答表!B158,IF([8]回答表!AA45="●",[8]回答表!B223,"")),"")</f>
        <v/>
      </c>
      <c r="V176" s="108"/>
      <c r="W176" s="108"/>
      <c r="X176" s="108"/>
      <c r="Y176" s="108"/>
      <c r="Z176" s="108"/>
      <c r="AA176" s="108"/>
      <c r="AB176" s="108"/>
      <c r="AC176" s="108"/>
      <c r="AD176" s="108"/>
      <c r="AE176" s="108"/>
      <c r="AF176" s="108"/>
      <c r="AG176" s="108"/>
      <c r="AH176" s="108"/>
      <c r="AI176" s="108"/>
      <c r="AJ176" s="109"/>
      <c r="AK176" s="49"/>
      <c r="AL176" s="49"/>
      <c r="AM176" s="116" t="str">
        <f>IF([8]回答表!BD17="●",IF([8]回答表!X45="●",[8]回答表!B212,IF([8]回答表!AA45="●",[8]回答表!B278,"")),"")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IF([8]回答表!BD17="●",IF([8]回答表!X45="●",[8]回答表!E212,IF([8]回答表!AA45="●",[8]回答表!E278,"")),"")</f>
        <v/>
      </c>
      <c r="AN179" s="84"/>
      <c r="AO179" s="84"/>
      <c r="AP179" s="84"/>
      <c r="AQ179" s="83" t="str">
        <f>IF([8]回答表!BD17="●",IF([8]回答表!X45="●",[8]回答表!E213,IF([8]回答表!AA45="●",[8]回答表!E279,"")),"")</f>
        <v/>
      </c>
      <c r="AR179" s="84"/>
      <c r="AS179" s="84"/>
      <c r="AT179" s="84"/>
      <c r="AU179" s="83" t="str">
        <f>IF([8]回答表!BD17="●",IF([8]回答表!X45="●",[8]回答表!E214,IF([8]回答表!AA45="●",[8]回答表!E280,"")),"")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IF([8]回答表!BD17="●",IF([8]回答表!AA45="●","●",""),"")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IF([8]回答表!BD17="●",IF([8]回答表!AD45="●","●",""),"")</f>
        <v/>
      </c>
      <c r="O188" s="99"/>
      <c r="P188" s="99"/>
      <c r="Q188" s="100"/>
      <c r="R188" s="38"/>
      <c r="S188" s="38"/>
      <c r="T188" s="38"/>
      <c r="U188" s="107" t="str">
        <f>IF([8]回答表!BD17="●",IF([8]回答表!AD45="●",[8]回答表!B289,""),"")</f>
        <v/>
      </c>
      <c r="V188" s="108"/>
      <c r="W188" s="108"/>
      <c r="X188" s="108"/>
      <c r="Y188" s="108"/>
      <c r="Z188" s="108"/>
      <c r="AA188" s="108"/>
      <c r="AB188" s="108"/>
      <c r="AC188" s="108"/>
      <c r="AD188" s="108"/>
      <c r="AE188" s="108"/>
      <c r="AF188" s="108"/>
      <c r="AG188" s="108"/>
      <c r="AH188" s="108"/>
      <c r="AI188" s="108"/>
      <c r="AJ188" s="109"/>
      <c r="AK188" s="55"/>
      <c r="AL188" s="55"/>
      <c r="AM188" s="107" t="str">
        <f>IF([8]回答表!BD17="●",IF([8]回答表!AD45="●",[8]回答表!B295,""),"")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IF([8]回答表!X46="●","●","")</f>
        <v/>
      </c>
      <c r="O200" s="99"/>
      <c r="P200" s="99"/>
      <c r="Q200" s="100"/>
      <c r="R200" s="38"/>
      <c r="S200" s="38"/>
      <c r="T200" s="38"/>
      <c r="U200" s="107" t="str">
        <f>IF([8]回答表!X46="●",[8]回答表!B307,IF([8]回答表!AA46="●",[8]回答表!B324,""))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IF([8]回答表!X46="●",[8]回答表!U313,IF([8]回答表!AA46="●",[8]回答表!U330,""))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IF([8]回答表!X46="●",[8]回答表!G313,IF([8]回答表!AA46="●",[8]回答表!G330,""))</f>
        <v/>
      </c>
      <c r="AN203" s="120"/>
      <c r="AO203" s="120"/>
      <c r="AP203" s="120"/>
      <c r="AQ203" s="120"/>
      <c r="AR203" s="120"/>
      <c r="AS203" s="120"/>
      <c r="AT203" s="121"/>
      <c r="AU203" s="119" t="str">
        <f>IF([8]回答表!X46="●",[8]回答表!G314,IF([8]回答表!AA46="●",[8]回答表!G331,""))</f>
        <v/>
      </c>
      <c r="AV203" s="120"/>
      <c r="AW203" s="120"/>
      <c r="AX203" s="120"/>
      <c r="AY203" s="120"/>
      <c r="AZ203" s="120"/>
      <c r="BA203" s="120"/>
      <c r="BB203" s="121"/>
      <c r="BC203" s="39"/>
      <c r="BD203" s="34"/>
      <c r="BE203" s="34"/>
      <c r="BF203" s="83" t="str">
        <f>IF([8]回答表!X46="●",[8]回答表!X313,IF([8]回答表!AA46="●",[8]回答表!X330,""))</f>
        <v/>
      </c>
      <c r="BG203" s="84"/>
      <c r="BH203" s="84"/>
      <c r="BI203" s="84"/>
      <c r="BJ203" s="83" t="str">
        <f>IF([8]回答表!X46="●",[8]回答表!X314,IF([8]回答表!AA46="●",[8]回答表!X331,""))</f>
        <v/>
      </c>
      <c r="BK203" s="84"/>
      <c r="BL203" s="84"/>
      <c r="BM203" s="87"/>
      <c r="BN203" s="83" t="str">
        <f>IF([8]回答表!X46="●",[8]回答表!X315,IF([8]回答表!AA46="●",[8]回答表!X332,""))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IF([8]回答表!AA46="●","●","")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IF([8]回答表!AD46="●","●","")</f>
        <v/>
      </c>
      <c r="O212" s="99"/>
      <c r="P212" s="99"/>
      <c r="Q212" s="100"/>
      <c r="R212" s="38"/>
      <c r="S212" s="38"/>
      <c r="T212" s="38"/>
      <c r="U212" s="107" t="str">
        <f>IF([8]回答表!AD46="●",[8]回答表!B337,"")</f>
        <v/>
      </c>
      <c r="V212" s="108"/>
      <c r="W212" s="108"/>
      <c r="X212" s="108"/>
      <c r="Y212" s="108"/>
      <c r="Z212" s="108"/>
      <c r="AA212" s="108"/>
      <c r="AB212" s="108"/>
      <c r="AC212" s="108"/>
      <c r="AD212" s="108"/>
      <c r="AE212" s="108"/>
      <c r="AF212" s="108"/>
      <c r="AG212" s="108"/>
      <c r="AH212" s="108"/>
      <c r="AI212" s="108"/>
      <c r="AJ212" s="109"/>
      <c r="AK212" s="62"/>
      <c r="AL212" s="62"/>
      <c r="AM212" s="107" t="str">
        <f>IF([8]回答表!AD46="●",[8]回答表!B343,"")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50.25" customHeight="1" x14ac:dyDescent="0.4">
      <c r="A224" s="24"/>
      <c r="B224" s="24"/>
      <c r="C224" s="32"/>
      <c r="D224" s="89" t="s">
        <v>18</v>
      </c>
      <c r="E224" s="90"/>
      <c r="F224" s="90"/>
      <c r="G224" s="90"/>
      <c r="H224" s="90"/>
      <c r="I224" s="90"/>
      <c r="J224" s="90"/>
      <c r="K224" s="90"/>
      <c r="L224" s="90"/>
      <c r="M224" s="91"/>
      <c r="N224" s="98" t="str">
        <f>IF([8]回答表!X47="●","●","")</f>
        <v>●</v>
      </c>
      <c r="O224" s="99"/>
      <c r="P224" s="99"/>
      <c r="Q224" s="100"/>
      <c r="R224" s="38"/>
      <c r="S224" s="38"/>
      <c r="T224" s="38"/>
      <c r="U224" s="107" t="str">
        <f>IF([8]回答表!X47="●",[8]回答表!B356,IF([8]回答表!AA47="●",[8]回答表!B379,""))</f>
        <v>平成29年度より上水道施設及び簡易水道施設の維持管理・運営を民間に委託し、3年委託により、35,436千円の経費を削減した。令和2年度より5年委託を更新した。また、上下水道料金徴収等業務についても令和2年度より5年委託を実施している。</v>
      </c>
      <c r="V224" s="108"/>
      <c r="W224" s="108"/>
      <c r="X224" s="108"/>
      <c r="Y224" s="108"/>
      <c r="Z224" s="108"/>
      <c r="AA224" s="108"/>
      <c r="AB224" s="108"/>
      <c r="AC224" s="108"/>
      <c r="AD224" s="108"/>
      <c r="AE224" s="108"/>
      <c r="AF224" s="108"/>
      <c r="AG224" s="108"/>
      <c r="AH224" s="108"/>
      <c r="AI224" s="108"/>
      <c r="AJ224" s="109"/>
      <c r="AK224" s="49"/>
      <c r="AL224" s="49"/>
      <c r="AM224" s="49"/>
      <c r="AN224" s="107" t="str">
        <f>IF([8]回答表!X47="●",[8]回答表!B362,"")</f>
        <v>上水道施設及び簡易水道施設の維持管理・運営：運転管理、保守点検委託、水質検査委託、ユーティリティー管理、軽微な修繕、電気保安業務、膜洗浄業務、休日夜間の電話対応、施設見学視察等の説明
上下水道料金徴収等業務：窓口業務、 開閉栓業務、 検針・調査業務、 収納・調定業務、 滞納整理及び給水停止業務、 量水器交換業務、量水器管理等業務、給水装置の管理業務、排水設備の管理業務、下水道負担金等調定収納業務等、にごり水等への対応業務、電子計算業務（料金システムを含む）　</v>
      </c>
      <c r="AO224" s="182"/>
      <c r="AP224" s="182"/>
      <c r="AQ224" s="182"/>
      <c r="AR224" s="182"/>
      <c r="AS224" s="182"/>
      <c r="AT224" s="182"/>
      <c r="AU224" s="182"/>
      <c r="AV224" s="182"/>
      <c r="AW224" s="182"/>
      <c r="AX224" s="182"/>
      <c r="AY224" s="182"/>
      <c r="AZ224" s="182"/>
      <c r="BA224" s="182"/>
      <c r="BB224" s="183"/>
      <c r="BC224" s="39"/>
      <c r="BD224" s="34"/>
      <c r="BE224" s="34"/>
      <c r="BF224" s="116" t="str">
        <f>IF([8]回答表!X47="●",[8]回答表!B368,IF([8]回答表!AA47="●",[8]回答表!B385,""))</f>
        <v>平成</v>
      </c>
      <c r="BG224" s="117"/>
      <c r="BH224" s="117"/>
      <c r="BI224" s="117"/>
      <c r="BJ224" s="116"/>
      <c r="BK224" s="117"/>
      <c r="BL224" s="117"/>
      <c r="BM224" s="117"/>
      <c r="BN224" s="116"/>
      <c r="BO224" s="117"/>
      <c r="BP224" s="117"/>
      <c r="BQ224" s="118"/>
      <c r="BR224" s="37"/>
      <c r="BS224" s="24"/>
    </row>
    <row r="225" spans="1:71" ht="50.25"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50.25"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50.25"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IF([8]回答表!X47="●",[8]回答表!E368,IF([8]回答表!AA47="●",[8]回答表!E385,""))</f>
        <v>29</v>
      </c>
      <c r="BG227" s="84"/>
      <c r="BH227" s="84"/>
      <c r="BI227" s="84"/>
      <c r="BJ227" s="83">
        <f>IF([8]回答表!X47="●",[8]回答表!E369,IF([8]回答表!AA47="●",[8]回答表!E386,""))</f>
        <v>4</v>
      </c>
      <c r="BK227" s="84"/>
      <c r="BL227" s="84"/>
      <c r="BM227" s="87"/>
      <c r="BN227" s="83">
        <f>IF([8]回答表!X47="●",[8]回答表!E370,IF([8]回答表!AA47="●",[8]回答表!E387,""))</f>
        <v>1</v>
      </c>
      <c r="BO227" s="84"/>
      <c r="BP227" s="84"/>
      <c r="BQ227" s="87"/>
      <c r="BR227" s="37"/>
      <c r="BS227" s="24"/>
    </row>
    <row r="228" spans="1:71" ht="50.25"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50.25"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50.25" customHeight="1" x14ac:dyDescent="0.4">
      <c r="A230" s="24"/>
      <c r="B230" s="24"/>
      <c r="C230" s="32"/>
      <c r="D230" s="134" t="s">
        <v>26</v>
      </c>
      <c r="E230" s="135"/>
      <c r="F230" s="135"/>
      <c r="G230" s="135"/>
      <c r="H230" s="135"/>
      <c r="I230" s="135"/>
      <c r="J230" s="135"/>
      <c r="K230" s="135"/>
      <c r="L230" s="135"/>
      <c r="M230" s="136"/>
      <c r="N230" s="98" t="str">
        <f>IF([8]回答表!AA47="●","●","")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50.25"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50.25"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50.25"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IF([8]回答表!AD47="●","●","")</f>
        <v/>
      </c>
      <c r="O236" s="99"/>
      <c r="P236" s="99"/>
      <c r="Q236" s="100"/>
      <c r="R236" s="38"/>
      <c r="S236" s="38"/>
      <c r="T236" s="38"/>
      <c r="U236" s="107" t="str">
        <f>IF([8]回答表!AD47="●",[8]回答表!B392,"")</f>
        <v/>
      </c>
      <c r="V236" s="108"/>
      <c r="W236" s="108"/>
      <c r="X236" s="108"/>
      <c r="Y236" s="108"/>
      <c r="Z236" s="108"/>
      <c r="AA236" s="108"/>
      <c r="AB236" s="108"/>
      <c r="AC236" s="108"/>
      <c r="AD236" s="108"/>
      <c r="AE236" s="108"/>
      <c r="AF236" s="108"/>
      <c r="AG236" s="108"/>
      <c r="AH236" s="108"/>
      <c r="AI236" s="108"/>
      <c r="AJ236" s="109"/>
      <c r="AK236" s="62"/>
      <c r="AL236" s="62"/>
      <c r="AM236" s="107" t="str">
        <f>IF([8]回答表!AD47="●",[8]回答表!B398,"")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IF([8]回答表!X48="●","●","")</f>
        <v/>
      </c>
      <c r="O248" s="99"/>
      <c r="P248" s="99"/>
      <c r="Q248" s="100"/>
      <c r="R248" s="38"/>
      <c r="S248" s="38"/>
      <c r="T248" s="38"/>
      <c r="U248" s="107" t="str">
        <f>IF([8]回答表!X48="●",[8]回答表!B411,IF([8]回答表!AA48="●",[8]回答表!B425,""))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IF([8]回答表!X48="●",[8]回答表!BC418,IF([8]回答表!AA48="●",[8]回答表!BC432,""))</f>
        <v/>
      </c>
      <c r="AR248" s="151"/>
      <c r="AS248" s="151"/>
      <c r="AT248" s="151"/>
      <c r="AU248" s="173" t="s">
        <v>73</v>
      </c>
      <c r="AV248" s="174"/>
      <c r="AW248" s="174"/>
      <c r="AX248" s="175"/>
      <c r="AY248" s="151" t="str">
        <f>IF([8]回答表!X48="●",[8]回答表!BC423,IF([8]回答表!AA48="●",[8]回答表!BC437,""))</f>
        <v/>
      </c>
      <c r="AZ248" s="151"/>
      <c r="BA248" s="151"/>
      <c r="BB248" s="151"/>
      <c r="BC248" s="39"/>
      <c r="BD248" s="34"/>
      <c r="BE248" s="34"/>
      <c r="BF248" s="116" t="str">
        <f>IF([8]回答表!X48="●",[8]回答表!S417,IF([8]回答表!AA48="●",[8]回答表!S431,""))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IF([8]回答表!X48="●",[8]回答表!BC419,IF([8]回答表!AA48="●",[8]回答表!BC433,""))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IF([8]回答表!X48="●",[8]回答表!V417,IF([8]回答表!AA48="●",[8]回答表!V431,""))</f>
        <v/>
      </c>
      <c r="BG251" s="84"/>
      <c r="BH251" s="84"/>
      <c r="BI251" s="84"/>
      <c r="BJ251" s="83" t="str">
        <f>IF([8]回答表!X48="●",[8]回答表!V418,IF([8]回答表!AA48="●",[8]回答表!V432,""))</f>
        <v/>
      </c>
      <c r="BK251" s="84"/>
      <c r="BL251" s="84"/>
      <c r="BM251" s="87"/>
      <c r="BN251" s="83" t="str">
        <f>IF([8]回答表!X48="●",[8]回答表!V419,IF([8]回答表!AA48="●",[8]回答表!V433,""))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IF([8]回答表!X48="●",[8]回答表!BC420,IF([8]回答表!AA48="●",[8]回答表!BC434,""))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IF([8]回答表!X48="●",[8]回答表!BC424,IF([8]回答表!AA48="●",[8]回答表!BC438,""))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IF([8]回答表!AA48="●","●","")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IF([8]回答表!X48="●",[8]回答表!BC421,IF([8]回答表!AA48="●",[8]回答表!BC435,""))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IF([8]回答表!X48="●",[8]回答表!BC422,IF([8]回答表!AA48="●",[8]回答表!BC436,""))</f>
        <v/>
      </c>
      <c r="AR256" s="151"/>
      <c r="AS256" s="151"/>
      <c r="AT256" s="151"/>
      <c r="AU256" s="152" t="s">
        <v>79</v>
      </c>
      <c r="AV256" s="153"/>
      <c r="AW256" s="153"/>
      <c r="AX256" s="154"/>
      <c r="AY256" s="158" t="str">
        <f>IF([8]回答表!X48="●",[8]回答表!BC425,IF([8]回答表!AA48="●",[8]回答表!BC439,""))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IF([8]回答表!AD48="●","●","")</f>
        <v/>
      </c>
      <c r="O260" s="99"/>
      <c r="P260" s="99"/>
      <c r="Q260" s="100"/>
      <c r="R260" s="38"/>
      <c r="S260" s="38"/>
      <c r="T260" s="38"/>
      <c r="U260" s="107" t="str">
        <f>IF([8]回答表!AD48="●",[8]回答表!B439,"")</f>
        <v/>
      </c>
      <c r="V260" s="108"/>
      <c r="W260" s="108"/>
      <c r="X260" s="108"/>
      <c r="Y260" s="108"/>
      <c r="Z260" s="108"/>
      <c r="AA260" s="108"/>
      <c r="AB260" s="108"/>
      <c r="AC260" s="108"/>
      <c r="AD260" s="108"/>
      <c r="AE260" s="108"/>
      <c r="AF260" s="108"/>
      <c r="AG260" s="108"/>
      <c r="AH260" s="108"/>
      <c r="AI260" s="108"/>
      <c r="AJ260" s="109"/>
      <c r="AK260" s="55"/>
      <c r="AL260" s="55"/>
      <c r="AM260" s="107" t="str">
        <f>IF([8]回答表!AD48="●",[8]回答表!B445,"")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IF([8]回答表!X49="●","●","")</f>
        <v/>
      </c>
      <c r="O271" s="99"/>
      <c r="P271" s="99"/>
      <c r="Q271" s="100"/>
      <c r="R271" s="38"/>
      <c r="S271" s="38"/>
      <c r="T271" s="38"/>
      <c r="U271" s="107" t="str">
        <f>IF([8]回答表!X49="●",[8]回答表!B458,IF([8]回答表!AA49="●",[8]回答表!B475,""))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IF([8]回答表!X49="●",[8]回答表!B468,IF([8]回答表!AA49="●",[8]回答表!B485,""))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IF([8]回答表!X49="●",[8]回答表!G464,IF([8]回答表!AA49="●",[8]回答表!G481,""))</f>
        <v/>
      </c>
      <c r="AN273" s="120"/>
      <c r="AO273" s="120"/>
      <c r="AP273" s="120"/>
      <c r="AQ273" s="120"/>
      <c r="AR273" s="120"/>
      <c r="AS273" s="120"/>
      <c r="AT273" s="121"/>
      <c r="AU273" s="119" t="str">
        <f>IF([8]回答表!X49="●",[8]回答表!G465,IF([8]回答表!AA49="●",[8]回答表!G482,""))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IF([8]回答表!X49="●",[8]回答表!E468,IF([8]回答表!AA49="●",[8]回答表!E485,""))</f>
        <v/>
      </c>
      <c r="BG274" s="84"/>
      <c r="BH274" s="84"/>
      <c r="BI274" s="84"/>
      <c r="BJ274" s="83" t="str">
        <f>IF([8]回答表!X49="●",[8]回答表!E469,IF([8]回答表!AA49="●",[8]回答表!E486,""))</f>
        <v/>
      </c>
      <c r="BK274" s="84"/>
      <c r="BL274" s="84"/>
      <c r="BM274" s="87"/>
      <c r="BN274" s="83" t="str">
        <f>IF([8]回答表!X49="●",[8]回答表!E470,IF([8]回答表!AA49="●",[8]回答表!E487,""))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IF([8]回答表!AA49="●","●","")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IF([8]回答表!AD49="●","●","")</f>
        <v/>
      </c>
      <c r="O283" s="99"/>
      <c r="P283" s="99"/>
      <c r="Q283" s="100"/>
      <c r="R283" s="38"/>
      <c r="S283" s="38"/>
      <c r="T283" s="38"/>
      <c r="U283" s="107" t="str">
        <f>IF([8]回答表!AD49="●",[8]回答表!B492,"")</f>
        <v/>
      </c>
      <c r="V283" s="108"/>
      <c r="W283" s="108"/>
      <c r="X283" s="108"/>
      <c r="Y283" s="108"/>
      <c r="Z283" s="108"/>
      <c r="AA283" s="108"/>
      <c r="AB283" s="108"/>
      <c r="AC283" s="108"/>
      <c r="AD283" s="108"/>
      <c r="AE283" s="108"/>
      <c r="AF283" s="108"/>
      <c r="AG283" s="108"/>
      <c r="AH283" s="108"/>
      <c r="AI283" s="108"/>
      <c r="AJ283" s="109"/>
      <c r="AK283" s="49"/>
      <c r="AL283" s="49"/>
      <c r="AM283" s="107" t="str">
        <f>IF([8]回答表!AD49="●",[8]回答表!B498,"")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IF([8]回答表!R50="●",[8]回答表!B511,"")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A40D-CAD1-4856-A734-4A4FA44CE4A1}">
  <sheetPr>
    <pageSetUpPr fitToPage="1"/>
  </sheetPr>
  <dimension ref="A1:CN315"/>
  <sheetViews>
    <sheetView showZeros="0" view="pageBreakPreview" zoomScale="60" zoomScaleNormal="55" workbookViewId="0">
      <selection activeCell="A224" sqref="A224:XFD2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IF(COUNTIF([1]回答表!K15,"*")&gt;0,[1]回答表!K15,"")</f>
        <v>湯沢市</v>
      </c>
      <c r="D11" s="299"/>
      <c r="E11" s="299"/>
      <c r="F11" s="299"/>
      <c r="G11" s="299"/>
      <c r="H11" s="299"/>
      <c r="I11" s="299"/>
      <c r="J11" s="299"/>
      <c r="K11" s="299"/>
      <c r="L11" s="299"/>
      <c r="M11" s="299"/>
      <c r="N11" s="299"/>
      <c r="O11" s="299"/>
      <c r="P11" s="299"/>
      <c r="Q11" s="299"/>
      <c r="R11" s="299"/>
      <c r="S11" s="299"/>
      <c r="T11" s="299"/>
      <c r="U11" s="306" t="str">
        <f>IF(COUNTIF([1]回答表!F17,"*")&gt;0,[1]回答表!F17,"")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IF(COUNTIF([1]回答表!W17,"*")&gt;0,[1]回答表!W17,"")</f>
        <v>公共下水道</v>
      </c>
      <c r="AP11" s="301"/>
      <c r="AQ11" s="301"/>
      <c r="AR11" s="301"/>
      <c r="AS11" s="301"/>
      <c r="AT11" s="301"/>
      <c r="AU11" s="301"/>
      <c r="AV11" s="301"/>
      <c r="AW11" s="301"/>
      <c r="AX11" s="301"/>
      <c r="AY11" s="301"/>
      <c r="AZ11" s="301"/>
      <c r="BA11" s="301"/>
      <c r="BB11" s="301"/>
      <c r="BC11" s="301"/>
      <c r="BD11" s="301"/>
      <c r="BE11" s="301"/>
      <c r="BF11" s="302"/>
      <c r="BG11" s="305" t="str">
        <f>IF(COUNTIF([1]回答表!F19,"*")&gt;0,[1]回答表!F19,"")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IF([1]回答表!R43="●","●","")</f>
        <v/>
      </c>
      <c r="E24" s="123"/>
      <c r="F24" s="123"/>
      <c r="G24" s="123"/>
      <c r="H24" s="123"/>
      <c r="I24" s="123"/>
      <c r="J24" s="124"/>
      <c r="K24" s="122" t="str">
        <f>IF([1]回答表!R44="●","●","")</f>
        <v/>
      </c>
      <c r="L24" s="123"/>
      <c r="M24" s="123"/>
      <c r="N24" s="123"/>
      <c r="O24" s="123"/>
      <c r="P24" s="123"/>
      <c r="Q24" s="124"/>
      <c r="R24" s="122" t="str">
        <f>IF([1]回答表!R45="●","●","")</f>
        <v>●</v>
      </c>
      <c r="S24" s="123"/>
      <c r="T24" s="123"/>
      <c r="U24" s="123"/>
      <c r="V24" s="123"/>
      <c r="W24" s="123"/>
      <c r="X24" s="124"/>
      <c r="Y24" s="122" t="str">
        <f>IF([1]回答表!R46="●","●","")</f>
        <v/>
      </c>
      <c r="Z24" s="123"/>
      <c r="AA24" s="123"/>
      <c r="AB24" s="123"/>
      <c r="AC24" s="123"/>
      <c r="AD24" s="123"/>
      <c r="AE24" s="124"/>
      <c r="AF24" s="122" t="str">
        <f>IF([1]回答表!R47="●","●","")</f>
        <v>●</v>
      </c>
      <c r="AG24" s="123"/>
      <c r="AH24" s="123"/>
      <c r="AI24" s="123"/>
      <c r="AJ24" s="123"/>
      <c r="AK24" s="123"/>
      <c r="AL24" s="124"/>
      <c r="AM24" s="122" t="str">
        <f>IF([1]回答表!R48="●","●","")</f>
        <v/>
      </c>
      <c r="AN24" s="123"/>
      <c r="AO24" s="123"/>
      <c r="AP24" s="123"/>
      <c r="AQ24" s="123"/>
      <c r="AR24" s="123"/>
      <c r="AS24" s="124"/>
      <c r="AT24" s="122" t="str">
        <f>IF([1]回答表!R49="●","●","")</f>
        <v/>
      </c>
      <c r="AU24" s="123"/>
      <c r="AV24" s="123"/>
      <c r="AW24" s="123"/>
      <c r="AX24" s="123"/>
      <c r="AY24" s="123"/>
      <c r="AZ24" s="124"/>
      <c r="BA24" s="18"/>
      <c r="BB24" s="119" t="str">
        <f>IF([1]回答表!R50="●","●","")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IF([1]回答表!X43="●","●","")</f>
        <v/>
      </c>
      <c r="O36" s="99"/>
      <c r="P36" s="99"/>
      <c r="Q36" s="100"/>
      <c r="R36" s="38"/>
      <c r="S36" s="38"/>
      <c r="T36" s="38"/>
      <c r="U36" s="107" t="str">
        <f>IF([1]回答表!X43="●",[1]回答表!B59,IF([1]回答表!AA43="●",[1]回答表!B79,""))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IF([1]回答表!X43="●",[1]回答表!S65,IF([1]回答表!AA43="●",[1]回答表!S85,""))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IF([1]回答表!X43="●",[1]回答表!G65,IF([1]回答表!AA43="●",[1]回答表!G85,""))</f>
        <v/>
      </c>
      <c r="AN38" s="120"/>
      <c r="AO38" s="120"/>
      <c r="AP38" s="120"/>
      <c r="AQ38" s="120"/>
      <c r="AR38" s="120"/>
      <c r="AS38" s="120"/>
      <c r="AT38" s="121"/>
      <c r="AU38" s="119" t="str">
        <f>IF([1]回答表!X43="●",[1]回答表!G66,IF([1]回答表!AA43="●",[1]回答表!G86,""))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IF([1]回答表!X43="●",[1]回答表!V65,IF([1]回答表!AA43="●",[1]回答表!V85,""))</f>
        <v/>
      </c>
      <c r="BG39" s="249"/>
      <c r="BH39" s="249"/>
      <c r="BI39" s="250"/>
      <c r="BJ39" s="83" t="str">
        <f>IF([1]回答表!X43="●",[1]回答表!V66,IF([1]回答表!AA43="●",[1]回答表!V86,""))</f>
        <v/>
      </c>
      <c r="BK39" s="249"/>
      <c r="BL39" s="249"/>
      <c r="BM39" s="250"/>
      <c r="BN39" s="83" t="str">
        <f>IF([1]回答表!X43="●",[1]回答表!V67,IF([1]回答表!AA43="●",[1]回答表!V87,""))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IF([1]回答表!X43="●",[1]回答表!O71,IF([1]回答表!AA43="●",[1]回答表!O91,""))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IF([1]回答表!X43="●",[1]回答表!O72,IF([1]回答表!AA43="●",[1]回答表!O92,""))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IF([1]回答表!X43="●",[1]回答表!O73,IF([1]回答表!AA43="●",[1]回答表!O93,""))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IF([1]回答表!X43="●",[1]回答表!O74,IF([1]回答表!AA43="●",[1]回答表!O94,""))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IF([1]回答表!X43="●",[1]回答表!AG71,IF([1]回答表!AA43="●",[1]回答表!AG91,""))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IF([1]回答表!X43="●",[1]回答表!AG72,IF([1]回答表!AA43="●",[1]回答表!AG92,""))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IF([1]回答表!AD43="●","●","")</f>
        <v/>
      </c>
      <c r="O51" s="99"/>
      <c r="P51" s="99"/>
      <c r="Q51" s="100"/>
      <c r="R51" s="38"/>
      <c r="S51" s="38"/>
      <c r="T51" s="38"/>
      <c r="U51" s="107" t="str">
        <f>IF([1]回答表!AD43="●",[1]回答表!B99,"")</f>
        <v/>
      </c>
      <c r="V51" s="108"/>
      <c r="W51" s="108"/>
      <c r="X51" s="108"/>
      <c r="Y51" s="108"/>
      <c r="Z51" s="108"/>
      <c r="AA51" s="108"/>
      <c r="AB51" s="108"/>
      <c r="AC51" s="108"/>
      <c r="AD51" s="108"/>
      <c r="AE51" s="108"/>
      <c r="AF51" s="108"/>
      <c r="AG51" s="108"/>
      <c r="AH51" s="108"/>
      <c r="AI51" s="108"/>
      <c r="AJ51" s="109"/>
      <c r="AK51" s="55"/>
      <c r="AL51" s="55"/>
      <c r="AM51" s="107" t="str">
        <f>IF([1]回答表!AD43="●",[1]回答表!B104,"")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IF([1]回答表!X44="●","●","")</f>
        <v/>
      </c>
      <c r="O62" s="99"/>
      <c r="P62" s="99"/>
      <c r="Q62" s="100"/>
      <c r="R62" s="38"/>
      <c r="S62" s="38"/>
      <c r="T62" s="38"/>
      <c r="U62" s="107" t="str">
        <f>IF([1]回答表!X44="●",[1]回答表!B115,IF([1]回答表!AA44="●",[1]回答表!B127,""))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IF([1]回答表!X44="●",[1]回答表!S121,IF([1]回答表!AA44="●",[1]回答表!S133,""))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IF([1]回答表!X44="●",[1]回答表!J121,IF([1]回答表!AA44="●",[1]回答表!J133,""))</f>
        <v/>
      </c>
      <c r="AN65" s="120"/>
      <c r="AO65" s="120"/>
      <c r="AP65" s="120"/>
      <c r="AQ65" s="120"/>
      <c r="AR65" s="120"/>
      <c r="AS65" s="120"/>
      <c r="AT65" s="121"/>
      <c r="AU65" s="119" t="str">
        <f>IF([1]回答表!X44="●",[1]回答表!J122,IF([1]回答表!AA44="●",[1]回答表!J134,""))</f>
        <v/>
      </c>
      <c r="AV65" s="120"/>
      <c r="AW65" s="120"/>
      <c r="AX65" s="120"/>
      <c r="AY65" s="120"/>
      <c r="AZ65" s="120"/>
      <c r="BA65" s="120"/>
      <c r="BB65" s="121"/>
      <c r="BC65" s="39"/>
      <c r="BD65" s="34"/>
      <c r="BE65" s="34"/>
      <c r="BF65" s="83" t="str">
        <f>IF([1]回答表!X44="●",[1]回答表!V121,IF([1]回答表!AA44="●",[1]回答表!V133,""))</f>
        <v/>
      </c>
      <c r="BG65" s="84"/>
      <c r="BH65" s="84"/>
      <c r="BI65" s="84"/>
      <c r="BJ65" s="83" t="str">
        <f>IF([1]回答表!X44="●",[1]回答表!V122,IF([1]回答表!AA44="●",[1]回答表!V134,""))</f>
        <v/>
      </c>
      <c r="BK65" s="84"/>
      <c r="BL65" s="84"/>
      <c r="BM65" s="84"/>
      <c r="BN65" s="83" t="str">
        <f>IF([1]回答表!X44="●",[1]回答表!V123,IF([1]回答表!AA44="●",[1]回答表!V135,""))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IF([1]回答表!AD44="●","●","")</f>
        <v/>
      </c>
      <c r="O74" s="99"/>
      <c r="P74" s="99"/>
      <c r="Q74" s="100"/>
      <c r="R74" s="38"/>
      <c r="S74" s="38"/>
      <c r="T74" s="38"/>
      <c r="U74" s="107" t="str">
        <f>IF([1]回答表!AD44="●",[1]回答表!B140,"")</f>
        <v/>
      </c>
      <c r="V74" s="108"/>
      <c r="W74" s="108"/>
      <c r="X74" s="108"/>
      <c r="Y74" s="108"/>
      <c r="Z74" s="108"/>
      <c r="AA74" s="108"/>
      <c r="AB74" s="108"/>
      <c r="AC74" s="108"/>
      <c r="AD74" s="108"/>
      <c r="AE74" s="108"/>
      <c r="AF74" s="108"/>
      <c r="AG74" s="108"/>
      <c r="AH74" s="108"/>
      <c r="AI74" s="108"/>
      <c r="AJ74" s="109"/>
      <c r="AK74" s="55"/>
      <c r="AL74" s="55"/>
      <c r="AM74" s="107" t="str">
        <f>IF([1]回答表!AD44="●",[1]回答表!B146,"")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IF([1]回答表!F17="水道事業",IF([1]回答表!X45="●","●",""),"")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IF([1]回答表!F17="水道事業",IF([1]回答表!X45="●",[1]回答表!B158,IF([1]回答表!AA45="●",[1]回答表!B223,"")),"")</f>
        <v/>
      </c>
      <c r="AN86" s="212"/>
      <c r="AO86" s="212"/>
      <c r="AP86" s="212"/>
      <c r="AQ86" s="212"/>
      <c r="AR86" s="212"/>
      <c r="AS86" s="212"/>
      <c r="AT86" s="212"/>
      <c r="AU86" s="212"/>
      <c r="AV86" s="212"/>
      <c r="AW86" s="212"/>
      <c r="AX86" s="212"/>
      <c r="AY86" s="212"/>
      <c r="AZ86" s="212"/>
      <c r="BA86" s="212"/>
      <c r="BB86" s="212"/>
      <c r="BC86" s="213"/>
      <c r="BD86" s="34"/>
      <c r="BE86" s="34"/>
      <c r="BF86" s="116" t="str">
        <f>IF([1]回答表!F17="水道事業",IF([1]回答表!X45="●",[1]回答表!B212,IF([1]回答表!AA45="●",[1]回答表!B278,"")),"")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IF([1]回答表!F17="水道事業",IF([1]回答表!X45="●",[1]回答表!J166,IF([1]回答表!AA45="●",[1]回答表!J231,"")),"")</f>
        <v/>
      </c>
      <c r="V88" s="120"/>
      <c r="W88" s="120"/>
      <c r="X88" s="120"/>
      <c r="Y88" s="120"/>
      <c r="Z88" s="120"/>
      <c r="AA88" s="120"/>
      <c r="AB88" s="121"/>
      <c r="AC88" s="119" t="str">
        <f>IF([1]回答表!F17="水道事業",IF([1]回答表!X45="●",[1]回答表!J173,IF([1]回答表!AA45="●",[1]回答表!J238,"")),"")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IF([1]回答表!F17="水道事業",IF([1]回答表!X45="●",[1]回答表!E212,IF([1]回答表!AA45="●",[1]回答表!E278,"")),"")</f>
        <v/>
      </c>
      <c r="BG89" s="84"/>
      <c r="BH89" s="84"/>
      <c r="BI89" s="84"/>
      <c r="BJ89" s="83" t="str">
        <f>IF([1]回答表!F17="水道事業",IF([1]回答表!X45="●",[1]回答表!E213,IF([1]回答表!AA45="●",[1]回答表!E279,"")),"")</f>
        <v/>
      </c>
      <c r="BK89" s="84"/>
      <c r="BL89" s="84"/>
      <c r="BM89" s="84"/>
      <c r="BN89" s="83" t="str">
        <f>IF([1]回答表!F17="水道事業",IF([1]回答表!X45="●",[1]回答表!E214,IF([1]回答表!AA45="●",[1]回答表!E280,"")),"")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IF([1]回答表!F17="水道事業",IF([1]回答表!AA45="●","●",""),"")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IF([1]回答表!F17="水道事業",IF([1]回答表!X45="●",[1]回答表!J176,IF([1]回答表!AA45="●",[1]回答表!J241,"")),"")</f>
        <v/>
      </c>
      <c r="V93" s="120"/>
      <c r="W93" s="120"/>
      <c r="X93" s="120"/>
      <c r="Y93" s="120"/>
      <c r="Z93" s="120"/>
      <c r="AA93" s="120"/>
      <c r="AB93" s="121"/>
      <c r="AC93" s="119" t="str">
        <f>IF([1]回答表!F17="水道事業",IF([1]回答表!X45="●",[1]回答表!J180,IF([1]回答表!AA45="●",[1]回答表!J245,"")),"")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IF([1]回答表!F17="水道事業",IF([1]回答表!AD45="●","●",""),"")</f>
        <v/>
      </c>
      <c r="O98" s="99"/>
      <c r="P98" s="99"/>
      <c r="Q98" s="100"/>
      <c r="R98" s="38"/>
      <c r="S98" s="38"/>
      <c r="T98" s="38"/>
      <c r="U98" s="107" t="str">
        <f>IF([1]回答表!F17="水道事業",IF([1]回答表!AD45="●",[1]回答表!B289,""),"")</f>
        <v/>
      </c>
      <c r="V98" s="108"/>
      <c r="W98" s="108"/>
      <c r="X98" s="108"/>
      <c r="Y98" s="108"/>
      <c r="Z98" s="108"/>
      <c r="AA98" s="108"/>
      <c r="AB98" s="108"/>
      <c r="AC98" s="108"/>
      <c r="AD98" s="108"/>
      <c r="AE98" s="108"/>
      <c r="AF98" s="108"/>
      <c r="AG98" s="108"/>
      <c r="AH98" s="108"/>
      <c r="AI98" s="108"/>
      <c r="AJ98" s="109"/>
      <c r="AK98" s="55"/>
      <c r="AL98" s="55"/>
      <c r="AM98" s="107" t="str">
        <f>IF([1]回答表!F17="水道事業",IF([1]回答表!AD45="●",[1]回答表!B295,""),"")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IF([1]回答表!F17="簡易水道事業",IF([1]回答表!X45="●",[1]回答表!B158,IF([1]回答表!AA45="●",[1]回答表!B223,"")),"")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IF([1]回答表!F17="簡易水道事業",IF([1]回答表!X45="●",[1]回答表!B212,IF([1]回答表!AA45="●",[1]回答表!B278,"")),"")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IF([1]回答表!F17="簡易水道事業",IF([1]回答表!X45="●","●",""),"")</f>
        <v/>
      </c>
      <c r="O112" s="99"/>
      <c r="P112" s="99"/>
      <c r="Q112" s="100"/>
      <c r="R112" s="38"/>
      <c r="S112" s="38"/>
      <c r="T112" s="38"/>
      <c r="U112" s="119" t="str">
        <f>IF([1]回答表!F17="簡易水道事業",IF([1]回答表!X45="●",[1]回答表!Y185,IF([1]回答表!AA45="●",[1]回答表!Y251,"")),"")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IF([1]回答表!F17="簡易水道事業",IF([1]回答表!X45="●",[1]回答表!E212,IF([1]回答表!AA45="●",[1]回答表!E278,"")),"")</f>
        <v/>
      </c>
      <c r="BG113" s="84"/>
      <c r="BH113" s="84"/>
      <c r="BI113" s="84"/>
      <c r="BJ113" s="83" t="str">
        <f>IF([1]回答表!F17="簡易水道事業",IF([1]回答表!X45="●",[1]回答表!E213,IF([1]回答表!AA45="●",[1]回答表!E279,"")),"")</f>
        <v/>
      </c>
      <c r="BK113" s="84"/>
      <c r="BL113" s="84"/>
      <c r="BM113" s="84"/>
      <c r="BN113" s="83" t="str">
        <f>IF([1]回答表!F17="簡易水道事業",IF([1]回答表!X45="●",[1]回答表!E214,IF([1]回答表!AA45="●",[1]回答表!E280,"")),"")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IF([1]回答表!F17="簡易水道事業",IF([1]回答表!X45="●",[1]回答表!Y186,IF([1]回答表!AA45="●",[1]回答表!Y252,"")),"")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IF([1]回答表!F17="簡易水道事業",IF([1]回答表!AA45="●","●",""),"")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IF([1]回答表!F17="簡易水道事業",IF([1]回答表!X45="●",[1]回答表!Y187,IF([1]回答表!AA45="●",[1]回答表!Y253,"")),"")</f>
        <v/>
      </c>
      <c r="V122" s="120"/>
      <c r="W122" s="120"/>
      <c r="X122" s="120"/>
      <c r="Y122" s="120"/>
      <c r="Z122" s="120"/>
      <c r="AA122" s="120"/>
      <c r="AB122" s="120"/>
      <c r="AC122" s="120"/>
      <c r="AD122" s="120"/>
      <c r="AE122" s="120"/>
      <c r="AF122" s="120"/>
      <c r="AG122" s="120"/>
      <c r="AH122" s="120"/>
      <c r="AI122" s="120"/>
      <c r="AJ122" s="121"/>
      <c r="AK122" s="18"/>
      <c r="AL122" s="18"/>
      <c r="AM122" s="228" t="str">
        <f>IF([1]回答表!F17="簡易水道事業",IF([1]回答表!X45="●",[1]回答表!Y189,IF([1]回答表!AA45="●",[1]回答表!Y255,"")),"")</f>
        <v/>
      </c>
      <c r="AN122" s="228"/>
      <c r="AO122" s="228"/>
      <c r="AP122" s="228"/>
      <c r="AQ122" s="228"/>
      <c r="AR122" s="228"/>
      <c r="AS122" s="228" t="str">
        <f>IF([1]回答表!F17="簡易水道事業",IF([1]回答表!X45="●",[1]回答表!Y190,IF([1]回答表!AA45="●",[1]回答表!Y256,"")),"")</f>
        <v/>
      </c>
      <c r="AT122" s="228"/>
      <c r="AU122" s="228"/>
      <c r="AV122" s="228"/>
      <c r="AW122" s="228"/>
      <c r="AX122" s="228"/>
      <c r="AY122" s="228" t="str">
        <f>IF([1]回答表!F17="簡易水道事業",IF([1]回答表!X45="●",[1]回答表!Y191,IF([1]回答表!AA45="●",[1]回答表!Y257,"")),"")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IF([1]回答表!F17="簡易水道事業",IF([1]回答表!AD45="●","●",""),"")</f>
        <v/>
      </c>
      <c r="O127" s="99"/>
      <c r="P127" s="99"/>
      <c r="Q127" s="100"/>
      <c r="R127" s="38"/>
      <c r="S127" s="38"/>
      <c r="T127" s="38"/>
      <c r="U127" s="107" t="str">
        <f>IF([1]回答表!F17="簡易水道事業",IF([1]回答表!AD45="●",[1]回答表!B289,""),"")</f>
        <v/>
      </c>
      <c r="V127" s="108"/>
      <c r="W127" s="108"/>
      <c r="X127" s="108"/>
      <c r="Y127" s="108"/>
      <c r="Z127" s="108"/>
      <c r="AA127" s="108"/>
      <c r="AB127" s="108"/>
      <c r="AC127" s="108"/>
      <c r="AD127" s="108"/>
      <c r="AE127" s="108"/>
      <c r="AF127" s="108"/>
      <c r="AG127" s="108"/>
      <c r="AH127" s="108"/>
      <c r="AI127" s="108"/>
      <c r="AJ127" s="109"/>
      <c r="AK127" s="55"/>
      <c r="AL127" s="55"/>
      <c r="AM127" s="107" t="str">
        <f>IF([1]回答表!F17="簡易水道事業",IF([1]回答表!AD45="●",[1]回答表!B295,""),"")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27.75" customHeight="1" x14ac:dyDescent="0.4">
      <c r="C139" s="32"/>
      <c r="D139" s="190" t="s">
        <v>18</v>
      </c>
      <c r="E139" s="190"/>
      <c r="F139" s="190"/>
      <c r="G139" s="190"/>
      <c r="H139" s="190"/>
      <c r="I139" s="190"/>
      <c r="J139" s="190"/>
      <c r="K139" s="190"/>
      <c r="L139" s="190"/>
      <c r="M139" s="190"/>
      <c r="N139" s="98" t="str">
        <f>IF([1]回答表!F17="下水道事業",IF([1]回答表!X45="●","●",""),"")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IF([1]回答表!F17="下水道事業",IF([1]回答表!X45="●",[1]回答表!B158,IF([1]回答表!AA45="●",[1]回答表!B223,"")),"")</f>
        <v>現在、県外施設で汚泥処理を行っているが、民間企業であるために相手方の都合により受入れ不能になる危険性もあり、他の受入れ先確保が厳しい状況であった。今後、秋田県が主体となっている県南地区広域汚泥資源化事業に参加することにより、県内処理施設で長期的・安定的に汚泥の受入れ先を確保できる。</v>
      </c>
      <c r="AN139" s="212"/>
      <c r="AO139" s="212"/>
      <c r="AP139" s="212"/>
      <c r="AQ139" s="212"/>
      <c r="AR139" s="212"/>
      <c r="AS139" s="212"/>
      <c r="AT139" s="212"/>
      <c r="AU139" s="212"/>
      <c r="AV139" s="212"/>
      <c r="AW139" s="212"/>
      <c r="AX139" s="212"/>
      <c r="AY139" s="212"/>
      <c r="AZ139" s="212"/>
      <c r="BA139" s="212"/>
      <c r="BB139" s="212"/>
      <c r="BC139" s="213"/>
      <c r="BD139" s="34"/>
      <c r="BE139" s="34"/>
      <c r="BF139" s="116" t="str">
        <f>IF([1]回答表!F17="下水道事業",IF([1]回答表!X45="●",[1]回答表!B212,IF([1]回答表!AA45="●",[1]回答表!B278,"")),"")</f>
        <v>令和</v>
      </c>
      <c r="BG139" s="117"/>
      <c r="BH139" s="117"/>
      <c r="BI139" s="117"/>
      <c r="BJ139" s="116"/>
      <c r="BK139" s="117"/>
      <c r="BL139" s="117"/>
      <c r="BM139" s="117"/>
      <c r="BN139" s="116"/>
      <c r="BO139" s="117"/>
      <c r="BP139" s="117"/>
      <c r="BQ139" s="118"/>
      <c r="BR139" s="37"/>
    </row>
    <row r="140" spans="3:92" ht="27.75"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27.75"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IF([1]回答表!F17="下水道事業",IF([1]回答表!X45="●",[1]回答表!Y193,IF([1]回答表!AA45="●",[1]回答表!Y259,"")),"")</f>
        <v xml:space="preserve">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27.75"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IF([1]回答表!F17="下水道事業",IF([1]回答表!X45="●",[1]回答表!E212,IF([1]回答表!AA45="●",[1]回答表!E278,"")),"")</f>
        <v>7</v>
      </c>
      <c r="BG142" s="84"/>
      <c r="BH142" s="84"/>
      <c r="BI142" s="84"/>
      <c r="BJ142" s="83" t="str">
        <f>IF([1]回答表!F17="下水道事業",IF([1]回答表!X45="●",[1]回答表!E213,IF([1]回答表!AA45="●",[1]回答表!E279,"")),"")</f>
        <v xml:space="preserve"> </v>
      </c>
      <c r="BK142" s="84"/>
      <c r="BL142" s="84"/>
      <c r="BM142" s="84"/>
      <c r="BN142" s="83" t="str">
        <f>IF([1]回答表!F17="下水道事業",IF([1]回答表!X45="●",[1]回答表!E214,IF([1]回答表!AA45="●",[1]回答表!E280,"")),"")</f>
        <v xml:space="preserve"> </v>
      </c>
      <c r="BO142" s="84"/>
      <c r="BP142" s="84"/>
      <c r="BQ142" s="87"/>
      <c r="BR142" s="37"/>
      <c r="BX142" s="211" t="str">
        <f>IF([1]回答表!AQ20="下水道事業",IF([1]回答表!BI48="○",[1]回答表!AM161,IF([1]回答表!BL48="○",[1]回答表!AM226,"")),"")</f>
        <v/>
      </c>
      <c r="BY142" s="212"/>
      <c r="BZ142" s="212"/>
      <c r="CA142" s="212"/>
      <c r="CB142" s="212"/>
      <c r="CC142" s="212"/>
      <c r="CD142" s="212"/>
      <c r="CE142" s="212"/>
      <c r="CF142" s="212"/>
      <c r="CG142" s="212"/>
      <c r="CH142" s="212"/>
      <c r="CI142" s="212"/>
      <c r="CJ142" s="212"/>
      <c r="CK142" s="212"/>
      <c r="CL142" s="212"/>
      <c r="CM142" s="212"/>
      <c r="CN142" s="213"/>
    </row>
    <row r="143" spans="3:92" ht="27.75"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27.75"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27.75"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27.75"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27.75" customHeight="1" x14ac:dyDescent="0.4">
      <c r="C147" s="32"/>
      <c r="D147" s="18"/>
      <c r="E147" s="18"/>
      <c r="F147" s="18"/>
      <c r="G147" s="18"/>
      <c r="H147" s="18"/>
      <c r="I147" s="18"/>
      <c r="J147" s="18"/>
      <c r="K147" s="18"/>
      <c r="L147" s="18"/>
      <c r="M147" s="18"/>
      <c r="N147" s="18"/>
      <c r="O147" s="18"/>
      <c r="P147" s="34"/>
      <c r="Q147" s="34"/>
      <c r="R147" s="34"/>
      <c r="S147" s="38"/>
      <c r="T147" s="38"/>
      <c r="U147" s="119" t="str">
        <f>IF([1]回答表!F17="下水道事業",IF([1]回答表!X45="●",[1]回答表!Y195,IF([1]回答表!AA45="●",[1]回答表!Y261,"")),"")</f>
        <v xml:space="preserve"> </v>
      </c>
      <c r="V147" s="120"/>
      <c r="W147" s="120"/>
      <c r="X147" s="120"/>
      <c r="Y147" s="120"/>
      <c r="Z147" s="120"/>
      <c r="AA147" s="120"/>
      <c r="AB147" s="121"/>
      <c r="AC147" s="119" t="str">
        <f>IF([1]回答表!F17="下水道事業",IF([1]回答表!X45="●",[1]回答表!Y196,IF([1]回答表!AA45="●",[1]回答表!Y262,"")),"")</f>
        <v xml:space="preserve">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27.75"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IF([1]回答表!F17="下水道事業",IF([1]回答表!X45="●",[1]回答表!Y198,IF([1]回答表!AA45="●",[1]回答表!Y264,"")),"")</f>
        <v xml:space="preserve"> </v>
      </c>
      <c r="V153" s="120"/>
      <c r="W153" s="120"/>
      <c r="X153" s="120"/>
      <c r="Y153" s="120"/>
      <c r="Z153" s="120"/>
      <c r="AA153" s="120"/>
      <c r="AB153" s="121"/>
      <c r="AC153" s="119" t="str">
        <f>IF([1]回答表!F17="下水道事業",IF([1]回答表!X45="●",[1]回答表!Y199,IF([1]回答表!AA45="●",[1]回答表!Y265,"")),"")</f>
        <v xml:space="preserve"> </v>
      </c>
      <c r="AD153" s="120"/>
      <c r="AE153" s="120"/>
      <c r="AF153" s="120"/>
      <c r="AG153" s="120"/>
      <c r="AH153" s="120"/>
      <c r="AI153" s="120"/>
      <c r="AJ153" s="121"/>
      <c r="AK153" s="119" t="str">
        <f>IF([1]回答表!F17="下水道事業",IF([1]回答表!X45="●",[1]回答表!Y200,IF([1]回答表!AA45="●",[1]回答表!Y266,"")),"")</f>
        <v xml:space="preserve"> </v>
      </c>
      <c r="AL153" s="120"/>
      <c r="AM153" s="120"/>
      <c r="AN153" s="120"/>
      <c r="AO153" s="120"/>
      <c r="AP153" s="120"/>
      <c r="AQ153" s="120"/>
      <c r="AR153" s="121"/>
      <c r="AS153" s="119" t="str">
        <f>IF([1]回答表!F17="下水道事業",IF([1]回答表!X45="●",[1]回答表!Y201,IF([1]回答表!AA45="●",[1]回答表!Y267,"")),"")</f>
        <v xml:space="preserve"> </v>
      </c>
      <c r="AT153" s="120"/>
      <c r="AU153" s="120"/>
      <c r="AV153" s="120"/>
      <c r="AW153" s="120"/>
      <c r="AX153" s="120"/>
      <c r="AY153" s="120"/>
      <c r="AZ153" s="121"/>
      <c r="BA153" s="119" t="str">
        <f>IF([1]回答表!F17="下水道事業",IF([1]回答表!X45="●",[1]回答表!Y202,IF([1]回答表!AA45="●",[1]回答表!Y268,"")),"")</f>
        <v xml:space="preserve">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IF([1]回答表!F17="下水道事業",IF([1]回答表!AA45="●","●",""),"")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IF([1]回答表!F17="下水道事業",IF([1]回答表!X45="●",[1]回答表!Y207,IF([1]回答表!AA45="●",[1]回答表!Y273,"")),"")</f>
        <v>●</v>
      </c>
      <c r="V159" s="120"/>
      <c r="W159" s="120"/>
      <c r="X159" s="120"/>
      <c r="Y159" s="120"/>
      <c r="Z159" s="120"/>
      <c r="AA159" s="120"/>
      <c r="AB159" s="121"/>
      <c r="AC159" s="119" t="str">
        <f>IF([1]回答表!F17="下水道事業",IF([1]回答表!X45="●",[1]回答表!Y208,IF([1]回答表!AA45="●",[1]回答表!Y274,"")),"")</f>
        <v xml:space="preserve"> </v>
      </c>
      <c r="AD159" s="120"/>
      <c r="AE159" s="120"/>
      <c r="AF159" s="120"/>
      <c r="AG159" s="120"/>
      <c r="AH159" s="120"/>
      <c r="AI159" s="120"/>
      <c r="AJ159" s="121"/>
      <c r="AK159" s="119" t="str">
        <f>IF([1]回答表!F17="下水道事業",IF([1]回答表!X45="●",[1]回答表!Y209,IF([1]回答表!AA45="●",[1]回答表!Y275,"")),"")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IF([1]回答表!F17="下水道事業",IF([1]回答表!AD45="●","●",""),"")</f>
        <v/>
      </c>
      <c r="O164" s="99"/>
      <c r="P164" s="99"/>
      <c r="Q164" s="100"/>
      <c r="R164" s="38"/>
      <c r="S164" s="38"/>
      <c r="T164" s="38"/>
      <c r="U164" s="107" t="str">
        <f>IF([1]回答表!F17="下水道事業",IF([1]回答表!AD45="●",[1]回答表!B289,""),"")</f>
        <v/>
      </c>
      <c r="V164" s="108"/>
      <c r="W164" s="108"/>
      <c r="X164" s="108"/>
      <c r="Y164" s="108"/>
      <c r="Z164" s="108"/>
      <c r="AA164" s="108"/>
      <c r="AB164" s="108"/>
      <c r="AC164" s="108"/>
      <c r="AD164" s="108"/>
      <c r="AE164" s="108"/>
      <c r="AF164" s="108"/>
      <c r="AG164" s="108"/>
      <c r="AH164" s="108"/>
      <c r="AI164" s="108"/>
      <c r="AJ164" s="109"/>
      <c r="AK164" s="55"/>
      <c r="AL164" s="55"/>
      <c r="AM164" s="107" t="str">
        <f>IF([1]回答表!F17="下水道事業",IF([1]回答表!AD45="●",[1]回答表!B295,""),"")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IF([1]回答表!BD17="●",IF([1]回答表!X45="●","●",""),"")</f>
        <v/>
      </c>
      <c r="O176" s="99"/>
      <c r="P176" s="99"/>
      <c r="Q176" s="100"/>
      <c r="R176" s="38"/>
      <c r="S176" s="38"/>
      <c r="T176" s="38"/>
      <c r="U176" s="107" t="str">
        <f>IF([1]回答表!BD17="●",IF([1]回答表!X45="●",[1]回答表!B158,IF([1]回答表!AA45="●",[1]回答表!B223,"")),"")</f>
        <v/>
      </c>
      <c r="V176" s="108"/>
      <c r="W176" s="108"/>
      <c r="X176" s="108"/>
      <c r="Y176" s="108"/>
      <c r="Z176" s="108"/>
      <c r="AA176" s="108"/>
      <c r="AB176" s="108"/>
      <c r="AC176" s="108"/>
      <c r="AD176" s="108"/>
      <c r="AE176" s="108"/>
      <c r="AF176" s="108"/>
      <c r="AG176" s="108"/>
      <c r="AH176" s="108"/>
      <c r="AI176" s="108"/>
      <c r="AJ176" s="109"/>
      <c r="AK176" s="49"/>
      <c r="AL176" s="49"/>
      <c r="AM176" s="116" t="str">
        <f>IF([1]回答表!BD17="●",IF([1]回答表!X45="●",[1]回答表!B212,IF([1]回答表!AA45="●",[1]回答表!B278,"")),"")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IF([1]回答表!BD17="●",IF([1]回答表!X45="●",[1]回答表!E212,IF([1]回答表!AA45="●",[1]回答表!E278,"")),"")</f>
        <v/>
      </c>
      <c r="AN179" s="84"/>
      <c r="AO179" s="84"/>
      <c r="AP179" s="84"/>
      <c r="AQ179" s="83" t="str">
        <f>IF([1]回答表!BD17="●",IF([1]回答表!X45="●",[1]回答表!E213,IF([1]回答表!AA45="●",[1]回答表!E279,"")),"")</f>
        <v/>
      </c>
      <c r="AR179" s="84"/>
      <c r="AS179" s="84"/>
      <c r="AT179" s="84"/>
      <c r="AU179" s="83" t="str">
        <f>IF([1]回答表!BD17="●",IF([1]回答表!X45="●",[1]回答表!E214,IF([1]回答表!AA45="●",[1]回答表!E280,"")),"")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IF([1]回答表!BD17="●",IF([1]回答表!AA45="●","●",""),"")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IF([1]回答表!BD17="●",IF([1]回答表!AD45="●","●",""),"")</f>
        <v/>
      </c>
      <c r="O188" s="99"/>
      <c r="P188" s="99"/>
      <c r="Q188" s="100"/>
      <c r="R188" s="38"/>
      <c r="S188" s="38"/>
      <c r="T188" s="38"/>
      <c r="U188" s="107" t="str">
        <f>IF([1]回答表!BD17="●",IF([1]回答表!AD45="●",[1]回答表!B289,""),"")</f>
        <v/>
      </c>
      <c r="V188" s="108"/>
      <c r="W188" s="108"/>
      <c r="X188" s="108"/>
      <c r="Y188" s="108"/>
      <c r="Z188" s="108"/>
      <c r="AA188" s="108"/>
      <c r="AB188" s="108"/>
      <c r="AC188" s="108"/>
      <c r="AD188" s="108"/>
      <c r="AE188" s="108"/>
      <c r="AF188" s="108"/>
      <c r="AG188" s="108"/>
      <c r="AH188" s="108"/>
      <c r="AI188" s="108"/>
      <c r="AJ188" s="109"/>
      <c r="AK188" s="55"/>
      <c r="AL188" s="55"/>
      <c r="AM188" s="107" t="str">
        <f>IF([1]回答表!BD17="●",IF([1]回答表!AD45="●",[1]回答表!B295,""),"")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IF([1]回答表!X46="●","●","")</f>
        <v/>
      </c>
      <c r="O200" s="99"/>
      <c r="P200" s="99"/>
      <c r="Q200" s="100"/>
      <c r="R200" s="38"/>
      <c r="S200" s="38"/>
      <c r="T200" s="38"/>
      <c r="U200" s="107" t="str">
        <f>IF([1]回答表!X46="●",[1]回答表!B307,IF([1]回答表!AA46="●",[1]回答表!B324,""))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IF([1]回答表!X46="●",[1]回答表!U313,IF([1]回答表!AA46="●",[1]回答表!U330,""))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IF([1]回答表!X46="●",[1]回答表!G313,IF([1]回答表!AA46="●",[1]回答表!G330,""))</f>
        <v/>
      </c>
      <c r="AN203" s="120"/>
      <c r="AO203" s="120"/>
      <c r="AP203" s="120"/>
      <c r="AQ203" s="120"/>
      <c r="AR203" s="120"/>
      <c r="AS203" s="120"/>
      <c r="AT203" s="121"/>
      <c r="AU203" s="119" t="str">
        <f>IF([1]回答表!X46="●",[1]回答表!G314,IF([1]回答表!AA46="●",[1]回答表!G331,""))</f>
        <v/>
      </c>
      <c r="AV203" s="120"/>
      <c r="AW203" s="120"/>
      <c r="AX203" s="120"/>
      <c r="AY203" s="120"/>
      <c r="AZ203" s="120"/>
      <c r="BA203" s="120"/>
      <c r="BB203" s="121"/>
      <c r="BC203" s="39"/>
      <c r="BD203" s="34"/>
      <c r="BE203" s="34"/>
      <c r="BF203" s="83" t="str">
        <f>IF([1]回答表!X46="●",[1]回答表!X313,IF([1]回答表!AA46="●",[1]回答表!X330,""))</f>
        <v/>
      </c>
      <c r="BG203" s="84"/>
      <c r="BH203" s="84"/>
      <c r="BI203" s="84"/>
      <c r="BJ203" s="83" t="str">
        <f>IF([1]回答表!X46="●",[1]回答表!X314,IF([1]回答表!AA46="●",[1]回答表!X331,""))</f>
        <v/>
      </c>
      <c r="BK203" s="84"/>
      <c r="BL203" s="84"/>
      <c r="BM203" s="87"/>
      <c r="BN203" s="83" t="str">
        <f>IF([1]回答表!X46="●",[1]回答表!X315,IF([1]回答表!AA46="●",[1]回答表!X332,""))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IF([1]回答表!AD46="●","●","")</f>
        <v/>
      </c>
      <c r="O212" s="99"/>
      <c r="P212" s="99"/>
      <c r="Q212" s="100"/>
      <c r="R212" s="38"/>
      <c r="S212" s="38"/>
      <c r="T212" s="38"/>
      <c r="U212" s="107" t="str">
        <f>IF([1]回答表!AD46="●",[1]回答表!B337,"")</f>
        <v/>
      </c>
      <c r="V212" s="108"/>
      <c r="W212" s="108"/>
      <c r="X212" s="108"/>
      <c r="Y212" s="108"/>
      <c r="Z212" s="108"/>
      <c r="AA212" s="108"/>
      <c r="AB212" s="108"/>
      <c r="AC212" s="108"/>
      <c r="AD212" s="108"/>
      <c r="AE212" s="108"/>
      <c r="AF212" s="108"/>
      <c r="AG212" s="108"/>
      <c r="AH212" s="108"/>
      <c r="AI212" s="108"/>
      <c r="AJ212" s="109"/>
      <c r="AK212" s="62"/>
      <c r="AL212" s="62"/>
      <c r="AM212" s="107" t="str">
        <f>IF([1]回答表!AD46="●",[1]回答表!B343,"")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34.5" customHeight="1" x14ac:dyDescent="0.4">
      <c r="A224" s="24"/>
      <c r="B224" s="24"/>
      <c r="C224" s="32"/>
      <c r="D224" s="89" t="s">
        <v>18</v>
      </c>
      <c r="E224" s="90"/>
      <c r="F224" s="90"/>
      <c r="G224" s="90"/>
      <c r="H224" s="90"/>
      <c r="I224" s="90"/>
      <c r="J224" s="90"/>
      <c r="K224" s="90"/>
      <c r="L224" s="90"/>
      <c r="M224" s="91"/>
      <c r="N224" s="98" t="str">
        <f>IF([1]回答表!X47="●","●","")</f>
        <v>●</v>
      </c>
      <c r="O224" s="99"/>
      <c r="P224" s="99"/>
      <c r="Q224" s="100"/>
      <c r="R224" s="38"/>
      <c r="S224" s="38"/>
      <c r="T224" s="38"/>
      <c r="U224" s="107" t="str">
        <f>IF([1]回答表!X47="●",[1]回答表!B356,IF([1]回答表!AA47="●",[1]回答表!B379,""))</f>
        <v>公共下水道の浄化センター１箇所及びマンホールポンプ施設を対象とし、施設管理及び管理運営業務の他、ユーティリティの調達及び１３０万円未満の保守修繕業務を委託。施設管理業務やユーティリティの調達コスト等の節減により、公共・特環施設等合計で当初契約金額比（税抜き）３,０４０,０００円節減できた。</v>
      </c>
      <c r="V224" s="108"/>
      <c r="W224" s="108"/>
      <c r="X224" s="108"/>
      <c r="Y224" s="108"/>
      <c r="Z224" s="108"/>
      <c r="AA224" s="108"/>
      <c r="AB224" s="108"/>
      <c r="AC224" s="108"/>
      <c r="AD224" s="108"/>
      <c r="AE224" s="108"/>
      <c r="AF224" s="108"/>
      <c r="AG224" s="108"/>
      <c r="AH224" s="108"/>
      <c r="AI224" s="108"/>
      <c r="AJ224" s="109"/>
      <c r="AK224" s="49"/>
      <c r="AL224" s="49"/>
      <c r="AM224" s="49"/>
      <c r="AN224" s="107" t="str">
        <f>IF([1]回答表!X47="●",[1]回答表!B362,"")</f>
        <v>施設が通常の運転を行うことができる機能を有し、業務開始時に確認した施設機能に比べて著しい損傷及び劣化がない状態とすること。
建築物は外構植栽等の保守点検や清掃について現状と比べて美観を損なわない程度で行うこと
放流水等は水質汚濁防止法及び条例、その他関係法令に定める遵守基準を確保すること。</v>
      </c>
      <c r="AO224" s="182"/>
      <c r="AP224" s="182"/>
      <c r="AQ224" s="182"/>
      <c r="AR224" s="182"/>
      <c r="AS224" s="182"/>
      <c r="AT224" s="182"/>
      <c r="AU224" s="182"/>
      <c r="AV224" s="182"/>
      <c r="AW224" s="182"/>
      <c r="AX224" s="182"/>
      <c r="AY224" s="182"/>
      <c r="AZ224" s="182"/>
      <c r="BA224" s="182"/>
      <c r="BB224" s="183"/>
      <c r="BC224" s="39"/>
      <c r="BD224" s="34"/>
      <c r="BE224" s="34"/>
      <c r="BF224" s="116" t="str">
        <f>IF([1]回答表!X47="●",[1]回答表!B368,IF([1]回答表!AA47="●",[1]回答表!B385,""))</f>
        <v>平成</v>
      </c>
      <c r="BG224" s="117"/>
      <c r="BH224" s="117"/>
      <c r="BI224" s="117"/>
      <c r="BJ224" s="116"/>
      <c r="BK224" s="117"/>
      <c r="BL224" s="117"/>
      <c r="BM224" s="117"/>
      <c r="BN224" s="116"/>
      <c r="BO224" s="117"/>
      <c r="BP224" s="117"/>
      <c r="BQ224" s="118"/>
      <c r="BR224" s="37"/>
      <c r="BS224" s="24"/>
    </row>
    <row r="225" spans="1:71" ht="34.5"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34.5"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34.5"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IF([1]回答表!X47="●",[1]回答表!E368,IF([1]回答表!AA47="●",[1]回答表!E385,""))</f>
        <v>28</v>
      </c>
      <c r="BG227" s="84"/>
      <c r="BH227" s="84"/>
      <c r="BI227" s="84"/>
      <c r="BJ227" s="83">
        <f>IF([1]回答表!X47="●",[1]回答表!E369,IF([1]回答表!AA47="●",[1]回答表!E386,""))</f>
        <v>3</v>
      </c>
      <c r="BK227" s="84"/>
      <c r="BL227" s="84"/>
      <c r="BM227" s="87"/>
      <c r="BN227" s="83">
        <f>IF([1]回答表!X47="●",[1]回答表!E370,IF([1]回答表!AA47="●",[1]回答表!E387,""))</f>
        <v>15</v>
      </c>
      <c r="BO227" s="84"/>
      <c r="BP227" s="84"/>
      <c r="BQ227" s="87"/>
      <c r="BR227" s="37"/>
      <c r="BS227" s="24"/>
    </row>
    <row r="228" spans="1:71" ht="34.5"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34.5"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34.5" customHeight="1" x14ac:dyDescent="0.4">
      <c r="A230" s="24"/>
      <c r="B230" s="24"/>
      <c r="C230" s="32"/>
      <c r="D230" s="134" t="s">
        <v>26</v>
      </c>
      <c r="E230" s="135"/>
      <c r="F230" s="135"/>
      <c r="G230" s="135"/>
      <c r="H230" s="135"/>
      <c r="I230" s="135"/>
      <c r="J230" s="135"/>
      <c r="K230" s="135"/>
      <c r="L230" s="135"/>
      <c r="M230" s="136"/>
      <c r="N230" s="98" t="str">
        <f>IF([1]回答表!AA47="●","●","")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34.5"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34.5"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34.5"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IF([1]回答表!AD47="●","●","")</f>
        <v/>
      </c>
      <c r="O236" s="99"/>
      <c r="P236" s="99"/>
      <c r="Q236" s="100"/>
      <c r="R236" s="38"/>
      <c r="S236" s="38"/>
      <c r="T236" s="38"/>
      <c r="U236" s="107" t="str">
        <f>IF([1]回答表!AD47="●",[1]回答表!B392,"")</f>
        <v/>
      </c>
      <c r="V236" s="108"/>
      <c r="W236" s="108"/>
      <c r="X236" s="108"/>
      <c r="Y236" s="108"/>
      <c r="Z236" s="108"/>
      <c r="AA236" s="108"/>
      <c r="AB236" s="108"/>
      <c r="AC236" s="108"/>
      <c r="AD236" s="108"/>
      <c r="AE236" s="108"/>
      <c r="AF236" s="108"/>
      <c r="AG236" s="108"/>
      <c r="AH236" s="108"/>
      <c r="AI236" s="108"/>
      <c r="AJ236" s="109"/>
      <c r="AK236" s="62"/>
      <c r="AL236" s="62"/>
      <c r="AM236" s="107" t="str">
        <f>IF([1]回答表!AD47="●",[1]回答表!B398,"")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IF([1]回答表!X48="●","●","")</f>
        <v/>
      </c>
      <c r="O248" s="99"/>
      <c r="P248" s="99"/>
      <c r="Q248" s="100"/>
      <c r="R248" s="38"/>
      <c r="S248" s="38"/>
      <c r="T248" s="38"/>
      <c r="U248" s="107" t="str">
        <f>IF([1]回答表!X48="●",[1]回答表!B411,IF([1]回答表!AA48="●",[1]回答表!B425,""))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IF([1]回答表!X48="●",[1]回答表!BC418,IF([1]回答表!AA48="●",[1]回答表!BC432,""))</f>
        <v/>
      </c>
      <c r="AR248" s="151"/>
      <c r="AS248" s="151"/>
      <c r="AT248" s="151"/>
      <c r="AU248" s="173" t="s">
        <v>73</v>
      </c>
      <c r="AV248" s="174"/>
      <c r="AW248" s="174"/>
      <c r="AX248" s="175"/>
      <c r="AY248" s="151" t="str">
        <f>IF([1]回答表!X48="●",[1]回答表!BC423,IF([1]回答表!AA48="●",[1]回答表!BC437,""))</f>
        <v/>
      </c>
      <c r="AZ248" s="151"/>
      <c r="BA248" s="151"/>
      <c r="BB248" s="151"/>
      <c r="BC248" s="39"/>
      <c r="BD248" s="34"/>
      <c r="BE248" s="34"/>
      <c r="BF248" s="116" t="str">
        <f>IF([1]回答表!X48="●",[1]回答表!S417,IF([1]回答表!AA48="●",[1]回答表!S431,""))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IF([1]回答表!X48="●",[1]回答表!BC419,IF([1]回答表!AA48="●",[1]回答表!BC433,""))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IF([1]回答表!X48="●",[1]回答表!V417,IF([1]回答表!AA48="●",[1]回答表!V431,""))</f>
        <v/>
      </c>
      <c r="BG251" s="84"/>
      <c r="BH251" s="84"/>
      <c r="BI251" s="84"/>
      <c r="BJ251" s="83" t="str">
        <f>IF([1]回答表!X48="●",[1]回答表!V418,IF([1]回答表!AA48="●",[1]回答表!V432,""))</f>
        <v/>
      </c>
      <c r="BK251" s="84"/>
      <c r="BL251" s="84"/>
      <c r="BM251" s="87"/>
      <c r="BN251" s="83" t="str">
        <f>IF([1]回答表!X48="●",[1]回答表!V419,IF([1]回答表!AA48="●",[1]回答表!V433,""))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IF([1]回答表!X48="●",[1]回答表!BC420,IF([1]回答表!AA48="●",[1]回答表!BC434,""))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IF([1]回答表!X48="●",[1]回答表!BC424,IF([1]回答表!AA48="●",[1]回答表!BC438,""))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IF([1]回答表!X48="●",[1]回答表!BC421,IF([1]回答表!AA48="●",[1]回答表!BC435,""))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IF([1]回答表!X48="●",[1]回答表!BC422,IF([1]回答表!AA48="●",[1]回答表!BC436,""))</f>
        <v/>
      </c>
      <c r="AR256" s="151"/>
      <c r="AS256" s="151"/>
      <c r="AT256" s="151"/>
      <c r="AU256" s="152" t="s">
        <v>79</v>
      </c>
      <c r="AV256" s="153"/>
      <c r="AW256" s="153"/>
      <c r="AX256" s="154"/>
      <c r="AY256" s="158" t="str">
        <f>IF([1]回答表!X48="●",[1]回答表!BC425,IF([1]回答表!AA48="●",[1]回答表!BC439,""))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IF([1]回答表!AD48="●","●","")</f>
        <v/>
      </c>
      <c r="O260" s="99"/>
      <c r="P260" s="99"/>
      <c r="Q260" s="100"/>
      <c r="R260" s="38"/>
      <c r="S260" s="38"/>
      <c r="T260" s="38"/>
      <c r="U260" s="107" t="str">
        <f>IF([1]回答表!AD48="●",[1]回答表!B439,"")</f>
        <v/>
      </c>
      <c r="V260" s="108"/>
      <c r="W260" s="108"/>
      <c r="X260" s="108"/>
      <c r="Y260" s="108"/>
      <c r="Z260" s="108"/>
      <c r="AA260" s="108"/>
      <c r="AB260" s="108"/>
      <c r="AC260" s="108"/>
      <c r="AD260" s="108"/>
      <c r="AE260" s="108"/>
      <c r="AF260" s="108"/>
      <c r="AG260" s="108"/>
      <c r="AH260" s="108"/>
      <c r="AI260" s="108"/>
      <c r="AJ260" s="109"/>
      <c r="AK260" s="55"/>
      <c r="AL260" s="55"/>
      <c r="AM260" s="107" t="str">
        <f>IF([1]回答表!AD48="●",[1]回答表!B445,"")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IF([1]回答表!X49="●","●","")</f>
        <v/>
      </c>
      <c r="O271" s="99"/>
      <c r="P271" s="99"/>
      <c r="Q271" s="100"/>
      <c r="R271" s="38"/>
      <c r="S271" s="38"/>
      <c r="T271" s="38"/>
      <c r="U271" s="107" t="str">
        <f>IF([1]回答表!X49="●",[1]回答表!B458,IF([1]回答表!AA49="●",[1]回答表!B475,""))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IF([1]回答表!X49="●",[1]回答表!B468,IF([1]回答表!AA49="●",[1]回答表!B485,""))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IF([1]回答表!X49="●",[1]回答表!G464,IF([1]回答表!AA49="●",[1]回答表!G481,""))</f>
        <v/>
      </c>
      <c r="AN273" s="120"/>
      <c r="AO273" s="120"/>
      <c r="AP273" s="120"/>
      <c r="AQ273" s="120"/>
      <c r="AR273" s="120"/>
      <c r="AS273" s="120"/>
      <c r="AT273" s="121"/>
      <c r="AU273" s="119" t="str">
        <f>IF([1]回答表!X49="●",[1]回答表!G465,IF([1]回答表!AA49="●",[1]回答表!G482,""))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IF([1]回答表!X49="●",[1]回答表!E468,IF([1]回答表!AA49="●",[1]回答表!E485,""))</f>
        <v/>
      </c>
      <c r="BG274" s="84"/>
      <c r="BH274" s="84"/>
      <c r="BI274" s="84"/>
      <c r="BJ274" s="83" t="str">
        <f>IF([1]回答表!X49="●",[1]回答表!E469,IF([1]回答表!AA49="●",[1]回答表!E486,""))</f>
        <v/>
      </c>
      <c r="BK274" s="84"/>
      <c r="BL274" s="84"/>
      <c r="BM274" s="87"/>
      <c r="BN274" s="83" t="str">
        <f>IF([1]回答表!X49="●",[1]回答表!E470,IF([1]回答表!AA49="●",[1]回答表!E487,""))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IF([1]回答表!AD49="●","●","")</f>
        <v/>
      </c>
      <c r="O283" s="99"/>
      <c r="P283" s="99"/>
      <c r="Q283" s="100"/>
      <c r="R283" s="38"/>
      <c r="S283" s="38"/>
      <c r="T283" s="38"/>
      <c r="U283" s="107" t="str">
        <f>IF([1]回答表!AD49="●",[1]回答表!B492,"")</f>
        <v/>
      </c>
      <c r="V283" s="108"/>
      <c r="W283" s="108"/>
      <c r="X283" s="108"/>
      <c r="Y283" s="108"/>
      <c r="Z283" s="108"/>
      <c r="AA283" s="108"/>
      <c r="AB283" s="108"/>
      <c r="AC283" s="108"/>
      <c r="AD283" s="108"/>
      <c r="AE283" s="108"/>
      <c r="AF283" s="108"/>
      <c r="AG283" s="108"/>
      <c r="AH283" s="108"/>
      <c r="AI283" s="108"/>
      <c r="AJ283" s="109"/>
      <c r="AK283" s="49"/>
      <c r="AL283" s="49"/>
      <c r="AM283" s="107" t="str">
        <f>IF([1]回答表!AD49="●",[1]回答表!B498,"")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IF([1]回答表!R50="●",[1]回答表!B511,"")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118D6-2B8E-4767-A862-1A9A5048DE98}">
  <sheetPr>
    <pageSetUpPr fitToPage="1"/>
  </sheetPr>
  <dimension ref="A1:CN315"/>
  <sheetViews>
    <sheetView showZeros="0" view="pageBreakPreview" topLeftCell="A43"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IF(COUNTIF([2]回答表!K15,"*")&gt;0,[2]回答表!K15,"")</f>
        <v>湯沢市</v>
      </c>
      <c r="D11" s="299"/>
      <c r="E11" s="299"/>
      <c r="F11" s="299"/>
      <c r="G11" s="299"/>
      <c r="H11" s="299"/>
      <c r="I11" s="299"/>
      <c r="J11" s="299"/>
      <c r="K11" s="299"/>
      <c r="L11" s="299"/>
      <c r="M11" s="299"/>
      <c r="N11" s="299"/>
      <c r="O11" s="299"/>
      <c r="P11" s="299"/>
      <c r="Q11" s="299"/>
      <c r="R11" s="299"/>
      <c r="S11" s="299"/>
      <c r="T11" s="299"/>
      <c r="U11" s="306" t="str">
        <f>IF(COUNTIF([2]回答表!F17,"*")&gt;0,[2]回答表!F17,"")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IF(COUNTIF([2]回答表!W17,"*")&gt;0,[2]回答表!W17,"")</f>
        <v>特定環境保全公共下水道</v>
      </c>
      <c r="AP11" s="301"/>
      <c r="AQ11" s="301"/>
      <c r="AR11" s="301"/>
      <c r="AS11" s="301"/>
      <c r="AT11" s="301"/>
      <c r="AU11" s="301"/>
      <c r="AV11" s="301"/>
      <c r="AW11" s="301"/>
      <c r="AX11" s="301"/>
      <c r="AY11" s="301"/>
      <c r="AZ11" s="301"/>
      <c r="BA11" s="301"/>
      <c r="BB11" s="301"/>
      <c r="BC11" s="301"/>
      <c r="BD11" s="301"/>
      <c r="BE11" s="301"/>
      <c r="BF11" s="302"/>
      <c r="BG11" s="305" t="str">
        <f>IF(COUNTIF([2]回答表!F19,"*")&gt;0,[2]回答表!F19,"")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IF([2]回答表!R43="●","●","")</f>
        <v/>
      </c>
      <c r="E24" s="123"/>
      <c r="F24" s="123"/>
      <c r="G24" s="123"/>
      <c r="H24" s="123"/>
      <c r="I24" s="123"/>
      <c r="J24" s="124"/>
      <c r="K24" s="122" t="str">
        <f>IF([2]回答表!R44="●","●","")</f>
        <v/>
      </c>
      <c r="L24" s="123"/>
      <c r="M24" s="123"/>
      <c r="N24" s="123"/>
      <c r="O24" s="123"/>
      <c r="P24" s="123"/>
      <c r="Q24" s="124"/>
      <c r="R24" s="122" t="str">
        <f>IF([2]回答表!R45="●","●","")</f>
        <v>●</v>
      </c>
      <c r="S24" s="123"/>
      <c r="T24" s="123"/>
      <c r="U24" s="123"/>
      <c r="V24" s="123"/>
      <c r="W24" s="123"/>
      <c r="X24" s="124"/>
      <c r="Y24" s="122" t="str">
        <f>IF([2]回答表!R46="●","●","")</f>
        <v/>
      </c>
      <c r="Z24" s="123"/>
      <c r="AA24" s="123"/>
      <c r="AB24" s="123"/>
      <c r="AC24" s="123"/>
      <c r="AD24" s="123"/>
      <c r="AE24" s="124"/>
      <c r="AF24" s="122" t="str">
        <f>IF([2]回答表!R47="●","●","")</f>
        <v>●</v>
      </c>
      <c r="AG24" s="123"/>
      <c r="AH24" s="123"/>
      <c r="AI24" s="123"/>
      <c r="AJ24" s="123"/>
      <c r="AK24" s="123"/>
      <c r="AL24" s="124"/>
      <c r="AM24" s="122" t="str">
        <f>IF([2]回答表!R48="●","●","")</f>
        <v/>
      </c>
      <c r="AN24" s="123"/>
      <c r="AO24" s="123"/>
      <c r="AP24" s="123"/>
      <c r="AQ24" s="123"/>
      <c r="AR24" s="123"/>
      <c r="AS24" s="124"/>
      <c r="AT24" s="122" t="str">
        <f>IF([2]回答表!R49="●","●","")</f>
        <v/>
      </c>
      <c r="AU24" s="123"/>
      <c r="AV24" s="123"/>
      <c r="AW24" s="123"/>
      <c r="AX24" s="123"/>
      <c r="AY24" s="123"/>
      <c r="AZ24" s="124"/>
      <c r="BA24" s="18"/>
      <c r="BB24" s="119" t="str">
        <f>IF([2]回答表!R50="●","●","")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IF([2]回答表!X43="●","●","")</f>
        <v/>
      </c>
      <c r="O36" s="99"/>
      <c r="P36" s="99"/>
      <c r="Q36" s="100"/>
      <c r="R36" s="38"/>
      <c r="S36" s="38"/>
      <c r="T36" s="38"/>
      <c r="U36" s="107" t="str">
        <f>IF([2]回答表!X43="●",[2]回答表!B59,IF([2]回答表!AA43="●",[2]回答表!B79,""))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IF([2]回答表!X43="●",[2]回答表!S65,IF([2]回答表!AA43="●",[2]回答表!S85,""))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IF([2]回答表!X43="●",[2]回答表!G65,IF([2]回答表!AA43="●",[2]回答表!G85,""))</f>
        <v/>
      </c>
      <c r="AN38" s="120"/>
      <c r="AO38" s="120"/>
      <c r="AP38" s="120"/>
      <c r="AQ38" s="120"/>
      <c r="AR38" s="120"/>
      <c r="AS38" s="120"/>
      <c r="AT38" s="121"/>
      <c r="AU38" s="119" t="str">
        <f>IF([2]回答表!X43="●",[2]回答表!G66,IF([2]回答表!AA43="●",[2]回答表!G86,""))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IF([2]回答表!X43="●",[2]回答表!V65,IF([2]回答表!AA43="●",[2]回答表!V85,""))</f>
        <v/>
      </c>
      <c r="BG39" s="249"/>
      <c r="BH39" s="249"/>
      <c r="BI39" s="250"/>
      <c r="BJ39" s="83" t="str">
        <f>IF([2]回答表!X43="●",[2]回答表!V66,IF([2]回答表!AA43="●",[2]回答表!V86,""))</f>
        <v/>
      </c>
      <c r="BK39" s="249"/>
      <c r="BL39" s="249"/>
      <c r="BM39" s="250"/>
      <c r="BN39" s="83" t="str">
        <f>IF([2]回答表!X43="●",[2]回答表!V67,IF([2]回答表!AA43="●",[2]回答表!V87,""))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IF([2]回答表!X43="●",[2]回答表!O71,IF([2]回答表!AA43="●",[2]回答表!O91,""))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IF([2]回答表!X43="●",[2]回答表!O72,IF([2]回答表!AA43="●",[2]回答表!O92,""))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IF([2]回答表!AA43="●","●","")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IF([2]回答表!X43="●",[2]回答表!O73,IF([2]回答表!AA43="●",[2]回答表!O93,""))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IF([2]回答表!X43="●",[2]回答表!O74,IF([2]回答表!AA43="●",[2]回答表!O94,""))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IF([2]回答表!X43="●",[2]回答表!AG71,IF([2]回答表!AA43="●",[2]回答表!AG91,""))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IF([2]回答表!X43="●",[2]回答表!AG72,IF([2]回答表!AA43="●",[2]回答表!AG92,""))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IF([2]回答表!AD43="●","●","")</f>
        <v/>
      </c>
      <c r="O51" s="99"/>
      <c r="P51" s="99"/>
      <c r="Q51" s="100"/>
      <c r="R51" s="38"/>
      <c r="S51" s="38"/>
      <c r="T51" s="38"/>
      <c r="U51" s="107" t="str">
        <f>IF([2]回答表!AD43="●",[2]回答表!B99,"")</f>
        <v/>
      </c>
      <c r="V51" s="108"/>
      <c r="W51" s="108"/>
      <c r="X51" s="108"/>
      <c r="Y51" s="108"/>
      <c r="Z51" s="108"/>
      <c r="AA51" s="108"/>
      <c r="AB51" s="108"/>
      <c r="AC51" s="108"/>
      <c r="AD51" s="108"/>
      <c r="AE51" s="108"/>
      <c r="AF51" s="108"/>
      <c r="AG51" s="108"/>
      <c r="AH51" s="108"/>
      <c r="AI51" s="108"/>
      <c r="AJ51" s="109"/>
      <c r="AK51" s="55"/>
      <c r="AL51" s="55"/>
      <c r="AM51" s="107" t="str">
        <f>IF([2]回答表!AD43="●",[2]回答表!B104,"")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IF([2]回答表!X44="●","●","")</f>
        <v/>
      </c>
      <c r="O62" s="99"/>
      <c r="P62" s="99"/>
      <c r="Q62" s="100"/>
      <c r="R62" s="38"/>
      <c r="S62" s="38"/>
      <c r="T62" s="38"/>
      <c r="U62" s="107" t="str">
        <f>IF([2]回答表!X44="●",[2]回答表!B115,IF([2]回答表!AA44="●",[2]回答表!B127,""))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IF([2]回答表!X44="●",[2]回答表!S121,IF([2]回答表!AA44="●",[2]回答表!S133,""))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IF([2]回答表!X44="●",[2]回答表!J121,IF([2]回答表!AA44="●",[2]回答表!J133,""))</f>
        <v/>
      </c>
      <c r="AN65" s="120"/>
      <c r="AO65" s="120"/>
      <c r="AP65" s="120"/>
      <c r="AQ65" s="120"/>
      <c r="AR65" s="120"/>
      <c r="AS65" s="120"/>
      <c r="AT65" s="121"/>
      <c r="AU65" s="119" t="str">
        <f>IF([2]回答表!X44="●",[2]回答表!J122,IF([2]回答表!AA44="●",[2]回答表!J134,""))</f>
        <v/>
      </c>
      <c r="AV65" s="120"/>
      <c r="AW65" s="120"/>
      <c r="AX65" s="120"/>
      <c r="AY65" s="120"/>
      <c r="AZ65" s="120"/>
      <c r="BA65" s="120"/>
      <c r="BB65" s="121"/>
      <c r="BC65" s="39"/>
      <c r="BD65" s="34"/>
      <c r="BE65" s="34"/>
      <c r="BF65" s="83" t="str">
        <f>IF([2]回答表!X44="●",[2]回答表!V121,IF([2]回答表!AA44="●",[2]回答表!V133,""))</f>
        <v/>
      </c>
      <c r="BG65" s="84"/>
      <c r="BH65" s="84"/>
      <c r="BI65" s="84"/>
      <c r="BJ65" s="83" t="str">
        <f>IF([2]回答表!X44="●",[2]回答表!V122,IF([2]回答表!AA44="●",[2]回答表!V134,""))</f>
        <v/>
      </c>
      <c r="BK65" s="84"/>
      <c r="BL65" s="84"/>
      <c r="BM65" s="84"/>
      <c r="BN65" s="83" t="str">
        <f>IF([2]回答表!X44="●",[2]回答表!V123,IF([2]回答表!AA44="●",[2]回答表!V135,""))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IF([2]回答表!AA44="●","●","")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IF([2]回答表!AD44="●","●","")</f>
        <v/>
      </c>
      <c r="O74" s="99"/>
      <c r="P74" s="99"/>
      <c r="Q74" s="100"/>
      <c r="R74" s="38"/>
      <c r="S74" s="38"/>
      <c r="T74" s="38"/>
      <c r="U74" s="107" t="str">
        <f>IF([2]回答表!AD44="●",[2]回答表!B140,"")</f>
        <v/>
      </c>
      <c r="V74" s="108"/>
      <c r="W74" s="108"/>
      <c r="X74" s="108"/>
      <c r="Y74" s="108"/>
      <c r="Z74" s="108"/>
      <c r="AA74" s="108"/>
      <c r="AB74" s="108"/>
      <c r="AC74" s="108"/>
      <c r="AD74" s="108"/>
      <c r="AE74" s="108"/>
      <c r="AF74" s="108"/>
      <c r="AG74" s="108"/>
      <c r="AH74" s="108"/>
      <c r="AI74" s="108"/>
      <c r="AJ74" s="109"/>
      <c r="AK74" s="55"/>
      <c r="AL74" s="55"/>
      <c r="AM74" s="107" t="str">
        <f>IF([2]回答表!AD44="●",[2]回答表!B146,"")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IF([2]回答表!F17="水道事業",IF([2]回答表!X45="●","●",""),"")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IF([2]回答表!F17="水道事業",IF([2]回答表!X45="●",[2]回答表!B158,IF([2]回答表!AA45="●",[2]回答表!B223,"")),"")</f>
        <v/>
      </c>
      <c r="AN86" s="212"/>
      <c r="AO86" s="212"/>
      <c r="AP86" s="212"/>
      <c r="AQ86" s="212"/>
      <c r="AR86" s="212"/>
      <c r="AS86" s="212"/>
      <c r="AT86" s="212"/>
      <c r="AU86" s="212"/>
      <c r="AV86" s="212"/>
      <c r="AW86" s="212"/>
      <c r="AX86" s="212"/>
      <c r="AY86" s="212"/>
      <c r="AZ86" s="212"/>
      <c r="BA86" s="212"/>
      <c r="BB86" s="212"/>
      <c r="BC86" s="213"/>
      <c r="BD86" s="34"/>
      <c r="BE86" s="34"/>
      <c r="BF86" s="116" t="str">
        <f>IF([2]回答表!F17="水道事業",IF([2]回答表!X45="●",[2]回答表!B212,IF([2]回答表!AA45="●",[2]回答表!B278,"")),"")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IF([2]回答表!F17="水道事業",IF([2]回答表!X45="●",[2]回答表!J166,IF([2]回答表!AA45="●",[2]回答表!J231,"")),"")</f>
        <v/>
      </c>
      <c r="V88" s="120"/>
      <c r="W88" s="120"/>
      <c r="X88" s="120"/>
      <c r="Y88" s="120"/>
      <c r="Z88" s="120"/>
      <c r="AA88" s="120"/>
      <c r="AB88" s="121"/>
      <c r="AC88" s="119" t="str">
        <f>IF([2]回答表!F17="水道事業",IF([2]回答表!X45="●",[2]回答表!J173,IF([2]回答表!AA45="●",[2]回答表!J238,"")),"")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IF([2]回答表!F17="水道事業",IF([2]回答表!X45="●",[2]回答表!E212,IF([2]回答表!AA45="●",[2]回答表!E278,"")),"")</f>
        <v/>
      </c>
      <c r="BG89" s="84"/>
      <c r="BH89" s="84"/>
      <c r="BI89" s="84"/>
      <c r="BJ89" s="83" t="str">
        <f>IF([2]回答表!F17="水道事業",IF([2]回答表!X45="●",[2]回答表!E213,IF([2]回答表!AA45="●",[2]回答表!E279,"")),"")</f>
        <v/>
      </c>
      <c r="BK89" s="84"/>
      <c r="BL89" s="84"/>
      <c r="BM89" s="84"/>
      <c r="BN89" s="83" t="str">
        <f>IF([2]回答表!F17="水道事業",IF([2]回答表!X45="●",[2]回答表!E214,IF([2]回答表!AA45="●",[2]回答表!E280,"")),"")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IF([2]回答表!F17="水道事業",IF([2]回答表!AA45="●","●",""),"")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IF([2]回答表!F17="水道事業",IF([2]回答表!X45="●",[2]回答表!J176,IF([2]回答表!AA45="●",[2]回答表!J241,"")),"")</f>
        <v/>
      </c>
      <c r="V93" s="120"/>
      <c r="W93" s="120"/>
      <c r="X93" s="120"/>
      <c r="Y93" s="120"/>
      <c r="Z93" s="120"/>
      <c r="AA93" s="120"/>
      <c r="AB93" s="121"/>
      <c r="AC93" s="119" t="str">
        <f>IF([2]回答表!F17="水道事業",IF([2]回答表!X45="●",[2]回答表!J180,IF([2]回答表!AA45="●",[2]回答表!J245,"")),"")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IF([2]回答表!F17="水道事業",IF([2]回答表!AD45="●","●",""),"")</f>
        <v/>
      </c>
      <c r="O98" s="99"/>
      <c r="P98" s="99"/>
      <c r="Q98" s="100"/>
      <c r="R98" s="38"/>
      <c r="S98" s="38"/>
      <c r="T98" s="38"/>
      <c r="U98" s="107" t="str">
        <f>IF([2]回答表!F17="水道事業",IF([2]回答表!AD45="●",[2]回答表!B289,""),"")</f>
        <v/>
      </c>
      <c r="V98" s="108"/>
      <c r="W98" s="108"/>
      <c r="X98" s="108"/>
      <c r="Y98" s="108"/>
      <c r="Z98" s="108"/>
      <c r="AA98" s="108"/>
      <c r="AB98" s="108"/>
      <c r="AC98" s="108"/>
      <c r="AD98" s="108"/>
      <c r="AE98" s="108"/>
      <c r="AF98" s="108"/>
      <c r="AG98" s="108"/>
      <c r="AH98" s="108"/>
      <c r="AI98" s="108"/>
      <c r="AJ98" s="109"/>
      <c r="AK98" s="55"/>
      <c r="AL98" s="55"/>
      <c r="AM98" s="107" t="str">
        <f>IF([2]回答表!F17="水道事業",IF([2]回答表!AD45="●",[2]回答表!B295,""),"")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IF([2]回答表!F17="簡易水道事業",IF([2]回答表!X45="●",[2]回答表!B158,IF([2]回答表!AA45="●",[2]回答表!B223,"")),"")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IF([2]回答表!F17="簡易水道事業",IF([2]回答表!X45="●",[2]回答表!B212,IF([2]回答表!AA45="●",[2]回答表!B278,"")),"")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IF([2]回答表!F17="簡易水道事業",IF([2]回答表!X45="●","●",""),"")</f>
        <v/>
      </c>
      <c r="O112" s="99"/>
      <c r="P112" s="99"/>
      <c r="Q112" s="100"/>
      <c r="R112" s="38"/>
      <c r="S112" s="38"/>
      <c r="T112" s="38"/>
      <c r="U112" s="119" t="str">
        <f>IF([2]回答表!F17="簡易水道事業",IF([2]回答表!X45="●",[2]回答表!Y185,IF([2]回答表!AA45="●",[2]回答表!Y251,"")),"")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IF([2]回答表!F17="簡易水道事業",IF([2]回答表!X45="●",[2]回答表!E212,IF([2]回答表!AA45="●",[2]回答表!E278,"")),"")</f>
        <v/>
      </c>
      <c r="BG113" s="84"/>
      <c r="BH113" s="84"/>
      <c r="BI113" s="84"/>
      <c r="BJ113" s="83" t="str">
        <f>IF([2]回答表!F17="簡易水道事業",IF([2]回答表!X45="●",[2]回答表!E213,IF([2]回答表!AA45="●",[2]回答表!E279,"")),"")</f>
        <v/>
      </c>
      <c r="BK113" s="84"/>
      <c r="BL113" s="84"/>
      <c r="BM113" s="84"/>
      <c r="BN113" s="83" t="str">
        <f>IF([2]回答表!F17="簡易水道事業",IF([2]回答表!X45="●",[2]回答表!E214,IF([2]回答表!AA45="●",[2]回答表!E280,"")),"")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IF([2]回答表!F17="簡易水道事業",IF([2]回答表!X45="●",[2]回答表!Y186,IF([2]回答表!AA45="●",[2]回答表!Y252,"")),"")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IF([2]回答表!F17="簡易水道事業",IF([2]回答表!AA45="●","●",""),"")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IF([2]回答表!F17="簡易水道事業",IF([2]回答表!X45="●",[2]回答表!Y187,IF([2]回答表!AA45="●",[2]回答表!Y253,"")),"")</f>
        <v/>
      </c>
      <c r="V122" s="120"/>
      <c r="W122" s="120"/>
      <c r="X122" s="120"/>
      <c r="Y122" s="120"/>
      <c r="Z122" s="120"/>
      <c r="AA122" s="120"/>
      <c r="AB122" s="120"/>
      <c r="AC122" s="120"/>
      <c r="AD122" s="120"/>
      <c r="AE122" s="120"/>
      <c r="AF122" s="120"/>
      <c r="AG122" s="120"/>
      <c r="AH122" s="120"/>
      <c r="AI122" s="120"/>
      <c r="AJ122" s="121"/>
      <c r="AK122" s="18"/>
      <c r="AL122" s="18"/>
      <c r="AM122" s="228" t="str">
        <f>IF([2]回答表!F17="簡易水道事業",IF([2]回答表!X45="●",[2]回答表!Y189,IF([2]回答表!AA45="●",[2]回答表!Y255,"")),"")</f>
        <v/>
      </c>
      <c r="AN122" s="228"/>
      <c r="AO122" s="228"/>
      <c r="AP122" s="228"/>
      <c r="AQ122" s="228"/>
      <c r="AR122" s="228"/>
      <c r="AS122" s="228" t="str">
        <f>IF([2]回答表!F17="簡易水道事業",IF([2]回答表!X45="●",[2]回答表!Y190,IF([2]回答表!AA45="●",[2]回答表!Y256,"")),"")</f>
        <v/>
      </c>
      <c r="AT122" s="228"/>
      <c r="AU122" s="228"/>
      <c r="AV122" s="228"/>
      <c r="AW122" s="228"/>
      <c r="AX122" s="228"/>
      <c r="AY122" s="228" t="str">
        <f>IF([2]回答表!F17="簡易水道事業",IF([2]回答表!X45="●",[2]回答表!Y191,IF([2]回答表!AA45="●",[2]回答表!Y257,"")),"")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IF([2]回答表!F17="簡易水道事業",IF([2]回答表!AD45="●","●",""),"")</f>
        <v/>
      </c>
      <c r="O127" s="99"/>
      <c r="P127" s="99"/>
      <c r="Q127" s="100"/>
      <c r="R127" s="38"/>
      <c r="S127" s="38"/>
      <c r="T127" s="38"/>
      <c r="U127" s="107" t="str">
        <f>IF([2]回答表!F17="簡易水道事業",IF([2]回答表!AD45="●",[2]回答表!B289,""),"")</f>
        <v/>
      </c>
      <c r="V127" s="108"/>
      <c r="W127" s="108"/>
      <c r="X127" s="108"/>
      <c r="Y127" s="108"/>
      <c r="Z127" s="108"/>
      <c r="AA127" s="108"/>
      <c r="AB127" s="108"/>
      <c r="AC127" s="108"/>
      <c r="AD127" s="108"/>
      <c r="AE127" s="108"/>
      <c r="AF127" s="108"/>
      <c r="AG127" s="108"/>
      <c r="AH127" s="108"/>
      <c r="AI127" s="108"/>
      <c r="AJ127" s="109"/>
      <c r="AK127" s="55"/>
      <c r="AL127" s="55"/>
      <c r="AM127" s="107" t="str">
        <f>IF([2]回答表!F17="簡易水道事業",IF([2]回答表!AD45="●",[2]回答表!B295,""),"")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IF([2]回答表!F17="下水道事業",IF([2]回答表!X45="●","●",""),"")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IF([2]回答表!F17="下水道事業",IF([2]回答表!X45="●",[2]回答表!B158,IF([2]回答表!AA45="●",[2]回答表!B223,"")),"")</f>
        <v>現在、県外施設で汚泥処理を行っているが、民間企業であるために相手方の都合により受入れ不能になる危険性もあり、他の受入れ先確保が厳しい状況であった。今後、秋田県が主体となっている県南地区広域汚泥資源化事業に参加することにより、県内処理施設で長期的・安定的に汚泥の受入れ先を確保できる。</v>
      </c>
      <c r="AN139" s="212"/>
      <c r="AO139" s="212"/>
      <c r="AP139" s="212"/>
      <c r="AQ139" s="212"/>
      <c r="AR139" s="212"/>
      <c r="AS139" s="212"/>
      <c r="AT139" s="212"/>
      <c r="AU139" s="212"/>
      <c r="AV139" s="212"/>
      <c r="AW139" s="212"/>
      <c r="AX139" s="212"/>
      <c r="AY139" s="212"/>
      <c r="AZ139" s="212"/>
      <c r="BA139" s="212"/>
      <c r="BB139" s="212"/>
      <c r="BC139" s="213"/>
      <c r="BD139" s="34"/>
      <c r="BE139" s="34"/>
      <c r="BF139" s="116" t="str">
        <f>IF([2]回答表!F17="下水道事業",IF([2]回答表!X45="●",[2]回答表!B212,IF([2]回答表!AA45="●",[2]回答表!B278,"")),"")</f>
        <v>令和</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IF([2]回答表!F17="下水道事業",IF([2]回答表!X45="●",[2]回答表!Y193,IF([2]回答表!AA45="●",[2]回答表!Y259,"")),"")</f>
        <v xml:space="preserve">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IF([2]回答表!F17="下水道事業",IF([2]回答表!X45="●",[2]回答表!E212,IF([2]回答表!AA45="●",[2]回答表!E278,"")),"")</f>
        <v>7</v>
      </c>
      <c r="BG142" s="84"/>
      <c r="BH142" s="84"/>
      <c r="BI142" s="84"/>
      <c r="BJ142" s="83" t="str">
        <f>IF([2]回答表!F17="下水道事業",IF([2]回答表!X45="●",[2]回答表!E213,IF([2]回答表!AA45="●",[2]回答表!E279,"")),"")</f>
        <v xml:space="preserve"> </v>
      </c>
      <c r="BK142" s="84"/>
      <c r="BL142" s="84"/>
      <c r="BM142" s="84"/>
      <c r="BN142" s="83" t="str">
        <f>IF([2]回答表!F17="下水道事業",IF([2]回答表!X45="●",[2]回答表!E214,IF([2]回答表!AA45="●",[2]回答表!E280,"")),"")</f>
        <v xml:space="preserve"> </v>
      </c>
      <c r="BO142" s="84"/>
      <c r="BP142" s="84"/>
      <c r="BQ142" s="87"/>
      <c r="BR142" s="37"/>
      <c r="BX142" s="211" t="str">
        <f>IF([2]回答表!AQ20="下水道事業",IF([2]回答表!BI48="○",[2]回答表!AM161,IF([2]回答表!BL48="○",[2]回答表!AM226,"")),"")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IF([2]回答表!F17="下水道事業",IF([2]回答表!X45="●",[2]回答表!Y195,IF([2]回答表!AA45="●",[2]回答表!Y261,"")),"")</f>
        <v xml:space="preserve"> </v>
      </c>
      <c r="V147" s="120"/>
      <c r="W147" s="120"/>
      <c r="X147" s="120"/>
      <c r="Y147" s="120"/>
      <c r="Z147" s="120"/>
      <c r="AA147" s="120"/>
      <c r="AB147" s="121"/>
      <c r="AC147" s="119" t="str">
        <f>IF([2]回答表!F17="下水道事業",IF([2]回答表!X45="●",[2]回答表!Y196,IF([2]回答表!AA45="●",[2]回答表!Y262,"")),"")</f>
        <v xml:space="preserve">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IF([2]回答表!F17="下水道事業",IF([2]回答表!X45="●",[2]回答表!Y198,IF([2]回答表!AA45="●",[2]回答表!Y264,"")),"")</f>
        <v xml:space="preserve"> </v>
      </c>
      <c r="V153" s="120"/>
      <c r="W153" s="120"/>
      <c r="X153" s="120"/>
      <c r="Y153" s="120"/>
      <c r="Z153" s="120"/>
      <c r="AA153" s="120"/>
      <c r="AB153" s="121"/>
      <c r="AC153" s="119" t="str">
        <f>IF([2]回答表!F17="下水道事業",IF([2]回答表!X45="●",[2]回答表!Y199,IF([2]回答表!AA45="●",[2]回答表!Y265,"")),"")</f>
        <v xml:space="preserve"> </v>
      </c>
      <c r="AD153" s="120"/>
      <c r="AE153" s="120"/>
      <c r="AF153" s="120"/>
      <c r="AG153" s="120"/>
      <c r="AH153" s="120"/>
      <c r="AI153" s="120"/>
      <c r="AJ153" s="121"/>
      <c r="AK153" s="119" t="str">
        <f>IF([2]回答表!F17="下水道事業",IF([2]回答表!X45="●",[2]回答表!Y200,IF([2]回答表!AA45="●",[2]回答表!Y266,"")),"")</f>
        <v xml:space="preserve"> </v>
      </c>
      <c r="AL153" s="120"/>
      <c r="AM153" s="120"/>
      <c r="AN153" s="120"/>
      <c r="AO153" s="120"/>
      <c r="AP153" s="120"/>
      <c r="AQ153" s="120"/>
      <c r="AR153" s="121"/>
      <c r="AS153" s="119" t="str">
        <f>IF([2]回答表!F17="下水道事業",IF([2]回答表!X45="●",[2]回答表!Y201,IF([2]回答表!AA45="●",[2]回答表!Y267,"")),"")</f>
        <v xml:space="preserve"> </v>
      </c>
      <c r="AT153" s="120"/>
      <c r="AU153" s="120"/>
      <c r="AV153" s="120"/>
      <c r="AW153" s="120"/>
      <c r="AX153" s="120"/>
      <c r="AY153" s="120"/>
      <c r="AZ153" s="121"/>
      <c r="BA153" s="119" t="str">
        <f>IF([2]回答表!F17="下水道事業",IF([2]回答表!X45="●",[2]回答表!Y202,IF([2]回答表!AA45="●",[2]回答表!Y268,"")),"")</f>
        <v xml:space="preserve">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IF([2]回答表!F17="下水道事業",IF([2]回答表!AA45="●","●",""),"")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IF([2]回答表!F17="下水道事業",IF([2]回答表!X45="●",[2]回答表!Y207,IF([2]回答表!AA45="●",[2]回答表!Y273,"")),"")</f>
        <v>●</v>
      </c>
      <c r="V159" s="120"/>
      <c r="W159" s="120"/>
      <c r="X159" s="120"/>
      <c r="Y159" s="120"/>
      <c r="Z159" s="120"/>
      <c r="AA159" s="120"/>
      <c r="AB159" s="121"/>
      <c r="AC159" s="119" t="str">
        <f>IF([2]回答表!F17="下水道事業",IF([2]回答表!X45="●",[2]回答表!Y208,IF([2]回答表!AA45="●",[2]回答表!Y274,"")),"")</f>
        <v xml:space="preserve"> </v>
      </c>
      <c r="AD159" s="120"/>
      <c r="AE159" s="120"/>
      <c r="AF159" s="120"/>
      <c r="AG159" s="120"/>
      <c r="AH159" s="120"/>
      <c r="AI159" s="120"/>
      <c r="AJ159" s="121"/>
      <c r="AK159" s="119" t="str">
        <f>IF([2]回答表!F17="下水道事業",IF([2]回答表!X45="●",[2]回答表!Y209,IF([2]回答表!AA45="●",[2]回答表!Y275,"")),"")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IF([2]回答表!F17="下水道事業",IF([2]回答表!AD45="●","●",""),"")</f>
        <v/>
      </c>
      <c r="O164" s="99"/>
      <c r="P164" s="99"/>
      <c r="Q164" s="100"/>
      <c r="R164" s="38"/>
      <c r="S164" s="38"/>
      <c r="T164" s="38"/>
      <c r="U164" s="107" t="str">
        <f>IF([2]回答表!F17="下水道事業",IF([2]回答表!AD45="●",[2]回答表!B289,""),"")</f>
        <v/>
      </c>
      <c r="V164" s="108"/>
      <c r="W164" s="108"/>
      <c r="X164" s="108"/>
      <c r="Y164" s="108"/>
      <c r="Z164" s="108"/>
      <c r="AA164" s="108"/>
      <c r="AB164" s="108"/>
      <c r="AC164" s="108"/>
      <c r="AD164" s="108"/>
      <c r="AE164" s="108"/>
      <c r="AF164" s="108"/>
      <c r="AG164" s="108"/>
      <c r="AH164" s="108"/>
      <c r="AI164" s="108"/>
      <c r="AJ164" s="109"/>
      <c r="AK164" s="55"/>
      <c r="AL164" s="55"/>
      <c r="AM164" s="107" t="str">
        <f>IF([2]回答表!F17="下水道事業",IF([2]回答表!AD45="●",[2]回答表!B295,""),"")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IF([2]回答表!BD17="●",IF([2]回答表!X45="●","●",""),"")</f>
        <v/>
      </c>
      <c r="O176" s="99"/>
      <c r="P176" s="99"/>
      <c r="Q176" s="100"/>
      <c r="R176" s="38"/>
      <c r="S176" s="38"/>
      <c r="T176" s="38"/>
      <c r="U176" s="107" t="str">
        <f>IF([2]回答表!BD17="●",IF([2]回答表!X45="●",[2]回答表!B158,IF([2]回答表!AA45="●",[2]回答表!B223,"")),"")</f>
        <v/>
      </c>
      <c r="V176" s="108"/>
      <c r="W176" s="108"/>
      <c r="X176" s="108"/>
      <c r="Y176" s="108"/>
      <c r="Z176" s="108"/>
      <c r="AA176" s="108"/>
      <c r="AB176" s="108"/>
      <c r="AC176" s="108"/>
      <c r="AD176" s="108"/>
      <c r="AE176" s="108"/>
      <c r="AF176" s="108"/>
      <c r="AG176" s="108"/>
      <c r="AH176" s="108"/>
      <c r="AI176" s="108"/>
      <c r="AJ176" s="109"/>
      <c r="AK176" s="49"/>
      <c r="AL176" s="49"/>
      <c r="AM176" s="116" t="str">
        <f>IF([2]回答表!BD17="●",IF([2]回答表!X45="●",[2]回答表!B212,IF([2]回答表!AA45="●",[2]回答表!B278,"")),"")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IF([2]回答表!BD17="●",IF([2]回答表!X45="●",[2]回答表!E212,IF([2]回答表!AA45="●",[2]回答表!E278,"")),"")</f>
        <v/>
      </c>
      <c r="AN179" s="84"/>
      <c r="AO179" s="84"/>
      <c r="AP179" s="84"/>
      <c r="AQ179" s="83" t="str">
        <f>IF([2]回答表!BD17="●",IF([2]回答表!X45="●",[2]回答表!E213,IF([2]回答表!AA45="●",[2]回答表!E279,"")),"")</f>
        <v/>
      </c>
      <c r="AR179" s="84"/>
      <c r="AS179" s="84"/>
      <c r="AT179" s="84"/>
      <c r="AU179" s="83" t="str">
        <f>IF([2]回答表!BD17="●",IF([2]回答表!X45="●",[2]回答表!E214,IF([2]回答表!AA45="●",[2]回答表!E280,"")),"")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IF([2]回答表!BD17="●",IF([2]回答表!AA45="●","●",""),"")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IF([2]回答表!BD17="●",IF([2]回答表!AD45="●","●",""),"")</f>
        <v/>
      </c>
      <c r="O188" s="99"/>
      <c r="P188" s="99"/>
      <c r="Q188" s="100"/>
      <c r="R188" s="38"/>
      <c r="S188" s="38"/>
      <c r="T188" s="38"/>
      <c r="U188" s="107" t="str">
        <f>IF([2]回答表!BD17="●",IF([2]回答表!AD45="●",[2]回答表!B289,""),"")</f>
        <v/>
      </c>
      <c r="V188" s="108"/>
      <c r="W188" s="108"/>
      <c r="X188" s="108"/>
      <c r="Y188" s="108"/>
      <c r="Z188" s="108"/>
      <c r="AA188" s="108"/>
      <c r="AB188" s="108"/>
      <c r="AC188" s="108"/>
      <c r="AD188" s="108"/>
      <c r="AE188" s="108"/>
      <c r="AF188" s="108"/>
      <c r="AG188" s="108"/>
      <c r="AH188" s="108"/>
      <c r="AI188" s="108"/>
      <c r="AJ188" s="109"/>
      <c r="AK188" s="55"/>
      <c r="AL188" s="55"/>
      <c r="AM188" s="107" t="str">
        <f>IF([2]回答表!BD17="●",IF([2]回答表!AD45="●",[2]回答表!B295,""),"")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IF([2]回答表!X46="●","●","")</f>
        <v/>
      </c>
      <c r="O200" s="99"/>
      <c r="P200" s="99"/>
      <c r="Q200" s="100"/>
      <c r="R200" s="38"/>
      <c r="S200" s="38"/>
      <c r="T200" s="38"/>
      <c r="U200" s="107" t="str">
        <f>IF([2]回答表!X46="●",[2]回答表!B307,IF([2]回答表!AA46="●",[2]回答表!B324,""))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IF([2]回答表!X46="●",[2]回答表!U313,IF([2]回答表!AA46="●",[2]回答表!U330,""))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IF([2]回答表!X46="●",[2]回答表!G313,IF([2]回答表!AA46="●",[2]回答表!G330,""))</f>
        <v/>
      </c>
      <c r="AN203" s="120"/>
      <c r="AO203" s="120"/>
      <c r="AP203" s="120"/>
      <c r="AQ203" s="120"/>
      <c r="AR203" s="120"/>
      <c r="AS203" s="120"/>
      <c r="AT203" s="121"/>
      <c r="AU203" s="119" t="str">
        <f>IF([2]回答表!X46="●",[2]回答表!G314,IF([2]回答表!AA46="●",[2]回答表!G331,""))</f>
        <v/>
      </c>
      <c r="AV203" s="120"/>
      <c r="AW203" s="120"/>
      <c r="AX203" s="120"/>
      <c r="AY203" s="120"/>
      <c r="AZ203" s="120"/>
      <c r="BA203" s="120"/>
      <c r="BB203" s="121"/>
      <c r="BC203" s="39"/>
      <c r="BD203" s="34"/>
      <c r="BE203" s="34"/>
      <c r="BF203" s="83" t="str">
        <f>IF([2]回答表!X46="●",[2]回答表!X313,IF([2]回答表!AA46="●",[2]回答表!X330,""))</f>
        <v/>
      </c>
      <c r="BG203" s="84"/>
      <c r="BH203" s="84"/>
      <c r="BI203" s="84"/>
      <c r="BJ203" s="83" t="str">
        <f>IF([2]回答表!X46="●",[2]回答表!X314,IF([2]回答表!AA46="●",[2]回答表!X331,""))</f>
        <v/>
      </c>
      <c r="BK203" s="84"/>
      <c r="BL203" s="84"/>
      <c r="BM203" s="87"/>
      <c r="BN203" s="83" t="str">
        <f>IF([2]回答表!X46="●",[2]回答表!X315,IF([2]回答表!AA46="●",[2]回答表!X332,""))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IF([2]回答表!AA46="●","●","")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IF([2]回答表!AD46="●","●","")</f>
        <v/>
      </c>
      <c r="O212" s="99"/>
      <c r="P212" s="99"/>
      <c r="Q212" s="100"/>
      <c r="R212" s="38"/>
      <c r="S212" s="38"/>
      <c r="T212" s="38"/>
      <c r="U212" s="107" t="str">
        <f>IF([2]回答表!AD46="●",[2]回答表!B337,"")</f>
        <v/>
      </c>
      <c r="V212" s="108"/>
      <c r="W212" s="108"/>
      <c r="X212" s="108"/>
      <c r="Y212" s="108"/>
      <c r="Z212" s="108"/>
      <c r="AA212" s="108"/>
      <c r="AB212" s="108"/>
      <c r="AC212" s="108"/>
      <c r="AD212" s="108"/>
      <c r="AE212" s="108"/>
      <c r="AF212" s="108"/>
      <c r="AG212" s="108"/>
      <c r="AH212" s="108"/>
      <c r="AI212" s="108"/>
      <c r="AJ212" s="109"/>
      <c r="AK212" s="62"/>
      <c r="AL212" s="62"/>
      <c r="AM212" s="107" t="str">
        <f>IF([2]回答表!AD46="●",[2]回答表!B343,"")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IF([2]回答表!X47="●","●","")</f>
        <v>●</v>
      </c>
      <c r="O224" s="99"/>
      <c r="P224" s="99"/>
      <c r="Q224" s="100"/>
      <c r="R224" s="38"/>
      <c r="S224" s="38"/>
      <c r="T224" s="38"/>
      <c r="U224" s="107" t="str">
        <f>IF([2]回答表!X47="●",[2]回答表!B356,IF([2]回答表!AA47="●",[2]回答表!B379,""))</f>
        <v>公共下水道の浄化センター１箇所及びマンホールポンプ施設を対象とし、施設管理及び管理運営業務の他、ユーティリティの調達及び１３０万円未満の保守修繕業務を委託。施設管理業務やユーティリティの調達コスト等の節減により、公共・特環施設等合計で当初契約金額比（税抜き）１,５５０,０００円節減できた。</v>
      </c>
      <c r="V224" s="108"/>
      <c r="W224" s="108"/>
      <c r="X224" s="108"/>
      <c r="Y224" s="108"/>
      <c r="Z224" s="108"/>
      <c r="AA224" s="108"/>
      <c r="AB224" s="108"/>
      <c r="AC224" s="108"/>
      <c r="AD224" s="108"/>
      <c r="AE224" s="108"/>
      <c r="AF224" s="108"/>
      <c r="AG224" s="108"/>
      <c r="AH224" s="108"/>
      <c r="AI224" s="108"/>
      <c r="AJ224" s="109"/>
      <c r="AK224" s="49"/>
      <c r="AL224" s="49"/>
      <c r="AM224" s="49"/>
      <c r="AN224" s="107" t="str">
        <f>IF([2]回答表!X47="●",[2]回答表!B362,"")</f>
        <v>施設が通常の運転を行うことができる機能を有し、業務開始時に確認した施設機能に比べて著しい損傷及び劣化がない状態とすること。
建築物は外構植栽等の保守点検や清掃について現状と比べて美観を損なわない程度で行うこと
放流水等は水質汚濁防止法及び条例、その他関係法令に定める遵守基準を確保すること。</v>
      </c>
      <c r="AO224" s="182"/>
      <c r="AP224" s="182"/>
      <c r="AQ224" s="182"/>
      <c r="AR224" s="182"/>
      <c r="AS224" s="182"/>
      <c r="AT224" s="182"/>
      <c r="AU224" s="182"/>
      <c r="AV224" s="182"/>
      <c r="AW224" s="182"/>
      <c r="AX224" s="182"/>
      <c r="AY224" s="182"/>
      <c r="AZ224" s="182"/>
      <c r="BA224" s="182"/>
      <c r="BB224" s="183"/>
      <c r="BC224" s="39"/>
      <c r="BD224" s="34"/>
      <c r="BE224" s="34"/>
      <c r="BF224" s="116" t="str">
        <f>IF([2]回答表!X47="●",[2]回答表!B368,IF([2]回答表!AA47="●",[2]回答表!B385,""))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IF([2]回答表!X47="●",[2]回答表!E368,IF([2]回答表!AA47="●",[2]回答表!E385,""))</f>
        <v>28</v>
      </c>
      <c r="BG227" s="84"/>
      <c r="BH227" s="84"/>
      <c r="BI227" s="84"/>
      <c r="BJ227" s="83">
        <f>IF([2]回答表!X47="●",[2]回答表!E369,IF([2]回答表!AA47="●",[2]回答表!E386,""))</f>
        <v>3</v>
      </c>
      <c r="BK227" s="84"/>
      <c r="BL227" s="84"/>
      <c r="BM227" s="87"/>
      <c r="BN227" s="83">
        <f>IF([2]回答表!X47="●",[2]回答表!E370,IF([2]回答表!AA47="●",[2]回答表!E387,""))</f>
        <v>15</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IF([2]回答表!AA47="●","●","")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IF([2]回答表!AD47="●","●","")</f>
        <v/>
      </c>
      <c r="O236" s="99"/>
      <c r="P236" s="99"/>
      <c r="Q236" s="100"/>
      <c r="R236" s="38"/>
      <c r="S236" s="38"/>
      <c r="T236" s="38"/>
      <c r="U236" s="107" t="str">
        <f>IF([2]回答表!AD47="●",[2]回答表!B392,"")</f>
        <v/>
      </c>
      <c r="V236" s="108"/>
      <c r="W236" s="108"/>
      <c r="X236" s="108"/>
      <c r="Y236" s="108"/>
      <c r="Z236" s="108"/>
      <c r="AA236" s="108"/>
      <c r="AB236" s="108"/>
      <c r="AC236" s="108"/>
      <c r="AD236" s="108"/>
      <c r="AE236" s="108"/>
      <c r="AF236" s="108"/>
      <c r="AG236" s="108"/>
      <c r="AH236" s="108"/>
      <c r="AI236" s="108"/>
      <c r="AJ236" s="109"/>
      <c r="AK236" s="62"/>
      <c r="AL236" s="62"/>
      <c r="AM236" s="107" t="str">
        <f>IF([2]回答表!AD47="●",[2]回答表!B398,"")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IF([2]回答表!X48="●","●","")</f>
        <v/>
      </c>
      <c r="O248" s="99"/>
      <c r="P248" s="99"/>
      <c r="Q248" s="100"/>
      <c r="R248" s="38"/>
      <c r="S248" s="38"/>
      <c r="T248" s="38"/>
      <c r="U248" s="107" t="str">
        <f>IF([2]回答表!X48="●",[2]回答表!B411,IF([2]回答表!AA48="●",[2]回答表!B425,""))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IF([2]回答表!X48="●",[2]回答表!BC418,IF([2]回答表!AA48="●",[2]回答表!BC432,""))</f>
        <v/>
      </c>
      <c r="AR248" s="151"/>
      <c r="AS248" s="151"/>
      <c r="AT248" s="151"/>
      <c r="AU248" s="173" t="s">
        <v>73</v>
      </c>
      <c r="AV248" s="174"/>
      <c r="AW248" s="174"/>
      <c r="AX248" s="175"/>
      <c r="AY248" s="151" t="str">
        <f>IF([2]回答表!X48="●",[2]回答表!BC423,IF([2]回答表!AA48="●",[2]回答表!BC437,""))</f>
        <v/>
      </c>
      <c r="AZ248" s="151"/>
      <c r="BA248" s="151"/>
      <c r="BB248" s="151"/>
      <c r="BC248" s="39"/>
      <c r="BD248" s="34"/>
      <c r="BE248" s="34"/>
      <c r="BF248" s="116" t="str">
        <f>IF([2]回答表!X48="●",[2]回答表!S417,IF([2]回答表!AA48="●",[2]回答表!S431,""))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IF([2]回答表!X48="●",[2]回答表!BC419,IF([2]回答表!AA48="●",[2]回答表!BC433,""))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IF([2]回答表!X48="●",[2]回答表!V417,IF([2]回答表!AA48="●",[2]回答表!V431,""))</f>
        <v/>
      </c>
      <c r="BG251" s="84"/>
      <c r="BH251" s="84"/>
      <c r="BI251" s="84"/>
      <c r="BJ251" s="83" t="str">
        <f>IF([2]回答表!X48="●",[2]回答表!V418,IF([2]回答表!AA48="●",[2]回答表!V432,""))</f>
        <v/>
      </c>
      <c r="BK251" s="84"/>
      <c r="BL251" s="84"/>
      <c r="BM251" s="87"/>
      <c r="BN251" s="83" t="str">
        <f>IF([2]回答表!X48="●",[2]回答表!V419,IF([2]回答表!AA48="●",[2]回答表!V433,""))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IF([2]回答表!X48="●",[2]回答表!BC420,IF([2]回答表!AA48="●",[2]回答表!BC434,""))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IF([2]回答表!X48="●",[2]回答表!BC424,IF([2]回答表!AA48="●",[2]回答表!BC438,""))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IF([2]回答表!AA48="●","●","")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IF([2]回答表!X48="●",[2]回答表!BC421,IF([2]回答表!AA48="●",[2]回答表!BC435,""))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IF([2]回答表!X48="●",[2]回答表!BC422,IF([2]回答表!AA48="●",[2]回答表!BC436,""))</f>
        <v/>
      </c>
      <c r="AR256" s="151"/>
      <c r="AS256" s="151"/>
      <c r="AT256" s="151"/>
      <c r="AU256" s="152" t="s">
        <v>79</v>
      </c>
      <c r="AV256" s="153"/>
      <c r="AW256" s="153"/>
      <c r="AX256" s="154"/>
      <c r="AY256" s="158" t="str">
        <f>IF([2]回答表!X48="●",[2]回答表!BC425,IF([2]回答表!AA48="●",[2]回答表!BC439,""))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IF([2]回答表!AD48="●","●","")</f>
        <v/>
      </c>
      <c r="O260" s="99"/>
      <c r="P260" s="99"/>
      <c r="Q260" s="100"/>
      <c r="R260" s="38"/>
      <c r="S260" s="38"/>
      <c r="T260" s="38"/>
      <c r="U260" s="107" t="str">
        <f>IF([2]回答表!AD48="●",[2]回答表!B439,"")</f>
        <v/>
      </c>
      <c r="V260" s="108"/>
      <c r="W260" s="108"/>
      <c r="X260" s="108"/>
      <c r="Y260" s="108"/>
      <c r="Z260" s="108"/>
      <c r="AA260" s="108"/>
      <c r="AB260" s="108"/>
      <c r="AC260" s="108"/>
      <c r="AD260" s="108"/>
      <c r="AE260" s="108"/>
      <c r="AF260" s="108"/>
      <c r="AG260" s="108"/>
      <c r="AH260" s="108"/>
      <c r="AI260" s="108"/>
      <c r="AJ260" s="109"/>
      <c r="AK260" s="55"/>
      <c r="AL260" s="55"/>
      <c r="AM260" s="107" t="str">
        <f>IF([2]回答表!AD48="●",[2]回答表!B445,"")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IF([2]回答表!X49="●","●","")</f>
        <v/>
      </c>
      <c r="O271" s="99"/>
      <c r="P271" s="99"/>
      <c r="Q271" s="100"/>
      <c r="R271" s="38"/>
      <c r="S271" s="38"/>
      <c r="T271" s="38"/>
      <c r="U271" s="107" t="str">
        <f>IF([2]回答表!X49="●",[2]回答表!B458,IF([2]回答表!AA49="●",[2]回答表!B475,""))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IF([2]回答表!X49="●",[2]回答表!B468,IF([2]回答表!AA49="●",[2]回答表!B485,""))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IF([2]回答表!X49="●",[2]回答表!G464,IF([2]回答表!AA49="●",[2]回答表!G481,""))</f>
        <v/>
      </c>
      <c r="AN273" s="120"/>
      <c r="AO273" s="120"/>
      <c r="AP273" s="120"/>
      <c r="AQ273" s="120"/>
      <c r="AR273" s="120"/>
      <c r="AS273" s="120"/>
      <c r="AT273" s="121"/>
      <c r="AU273" s="119" t="str">
        <f>IF([2]回答表!X49="●",[2]回答表!G465,IF([2]回答表!AA49="●",[2]回答表!G482,""))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IF([2]回答表!X49="●",[2]回答表!E468,IF([2]回答表!AA49="●",[2]回答表!E485,""))</f>
        <v/>
      </c>
      <c r="BG274" s="84"/>
      <c r="BH274" s="84"/>
      <c r="BI274" s="84"/>
      <c r="BJ274" s="83" t="str">
        <f>IF([2]回答表!X49="●",[2]回答表!E469,IF([2]回答表!AA49="●",[2]回答表!E486,""))</f>
        <v/>
      </c>
      <c r="BK274" s="84"/>
      <c r="BL274" s="84"/>
      <c r="BM274" s="87"/>
      <c r="BN274" s="83" t="str">
        <f>IF([2]回答表!X49="●",[2]回答表!E470,IF([2]回答表!AA49="●",[2]回答表!E487,""))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IF([2]回答表!AA49="●","●","")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IF([2]回答表!AD49="●","●","")</f>
        <v/>
      </c>
      <c r="O283" s="99"/>
      <c r="P283" s="99"/>
      <c r="Q283" s="100"/>
      <c r="R283" s="38"/>
      <c r="S283" s="38"/>
      <c r="T283" s="38"/>
      <c r="U283" s="107" t="str">
        <f>IF([2]回答表!AD49="●",[2]回答表!B492,"")</f>
        <v/>
      </c>
      <c r="V283" s="108"/>
      <c r="W283" s="108"/>
      <c r="X283" s="108"/>
      <c r="Y283" s="108"/>
      <c r="Z283" s="108"/>
      <c r="AA283" s="108"/>
      <c r="AB283" s="108"/>
      <c r="AC283" s="108"/>
      <c r="AD283" s="108"/>
      <c r="AE283" s="108"/>
      <c r="AF283" s="108"/>
      <c r="AG283" s="108"/>
      <c r="AH283" s="108"/>
      <c r="AI283" s="108"/>
      <c r="AJ283" s="109"/>
      <c r="AK283" s="49"/>
      <c r="AL283" s="49"/>
      <c r="AM283" s="107" t="str">
        <f>IF([2]回答表!AD49="●",[2]回答表!B498,"")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IF([2]回答表!R50="●",[2]回答表!B511,"")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2A115-D7E3-41E0-8F0A-0E971CE1124E}">
  <sheetPr>
    <pageSetUpPr fitToPage="1"/>
  </sheetPr>
  <dimension ref="A1:CN315"/>
  <sheetViews>
    <sheetView showZeros="0" view="pageBreakPreview" zoomScale="60" zoomScaleNormal="55" workbookViewId="0">
      <selection activeCell="A236" sqref="A236:XFD23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IF(COUNTIF([4]回答表!K15,"*")&gt;0,[4]回答表!K15,"")</f>
        <v>湯沢市</v>
      </c>
      <c r="D11" s="299"/>
      <c r="E11" s="299"/>
      <c r="F11" s="299"/>
      <c r="G11" s="299"/>
      <c r="H11" s="299"/>
      <c r="I11" s="299"/>
      <c r="J11" s="299"/>
      <c r="K11" s="299"/>
      <c r="L11" s="299"/>
      <c r="M11" s="299"/>
      <c r="N11" s="299"/>
      <c r="O11" s="299"/>
      <c r="P11" s="299"/>
      <c r="Q11" s="299"/>
      <c r="R11" s="299"/>
      <c r="S11" s="299"/>
      <c r="T11" s="299"/>
      <c r="U11" s="306" t="str">
        <f>IF(COUNTIF([4]回答表!F17,"*")&gt;0,[4]回答表!F17,"")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IF(COUNTIF([4]回答表!W17,"*")&gt;0,[4]回答表!W17,"")</f>
        <v>農業集落排水施設</v>
      </c>
      <c r="AP11" s="301"/>
      <c r="AQ11" s="301"/>
      <c r="AR11" s="301"/>
      <c r="AS11" s="301"/>
      <c r="AT11" s="301"/>
      <c r="AU11" s="301"/>
      <c r="AV11" s="301"/>
      <c r="AW11" s="301"/>
      <c r="AX11" s="301"/>
      <c r="AY11" s="301"/>
      <c r="AZ11" s="301"/>
      <c r="BA11" s="301"/>
      <c r="BB11" s="301"/>
      <c r="BC11" s="301"/>
      <c r="BD11" s="301"/>
      <c r="BE11" s="301"/>
      <c r="BF11" s="302"/>
      <c r="BG11" s="305" t="str">
        <f>IF(COUNTIF([4]回答表!F19,"*")&gt;0,[4]回答表!F19,"")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IF([4]回答表!R43="●","●","")</f>
        <v/>
      </c>
      <c r="E24" s="123"/>
      <c r="F24" s="123"/>
      <c r="G24" s="123"/>
      <c r="H24" s="123"/>
      <c r="I24" s="123"/>
      <c r="J24" s="124"/>
      <c r="K24" s="122" t="str">
        <f>IF([4]回答表!R44="●","●","")</f>
        <v/>
      </c>
      <c r="L24" s="123"/>
      <c r="M24" s="123"/>
      <c r="N24" s="123"/>
      <c r="O24" s="123"/>
      <c r="P24" s="123"/>
      <c r="Q24" s="124"/>
      <c r="R24" s="122" t="str">
        <f>IF([4]回答表!R45="●","●","")</f>
        <v>●</v>
      </c>
      <c r="S24" s="123"/>
      <c r="T24" s="123"/>
      <c r="U24" s="123"/>
      <c r="V24" s="123"/>
      <c r="W24" s="123"/>
      <c r="X24" s="124"/>
      <c r="Y24" s="122" t="str">
        <f>IF([4]回答表!R46="●","●","")</f>
        <v/>
      </c>
      <c r="Z24" s="123"/>
      <c r="AA24" s="123"/>
      <c r="AB24" s="123"/>
      <c r="AC24" s="123"/>
      <c r="AD24" s="123"/>
      <c r="AE24" s="124"/>
      <c r="AF24" s="122" t="str">
        <f>IF([4]回答表!R47="●","●","")</f>
        <v>●</v>
      </c>
      <c r="AG24" s="123"/>
      <c r="AH24" s="123"/>
      <c r="AI24" s="123"/>
      <c r="AJ24" s="123"/>
      <c r="AK24" s="123"/>
      <c r="AL24" s="124"/>
      <c r="AM24" s="122" t="str">
        <f>IF([4]回答表!R48="●","●","")</f>
        <v/>
      </c>
      <c r="AN24" s="123"/>
      <c r="AO24" s="123"/>
      <c r="AP24" s="123"/>
      <c r="AQ24" s="123"/>
      <c r="AR24" s="123"/>
      <c r="AS24" s="124"/>
      <c r="AT24" s="122" t="str">
        <f>IF([4]回答表!R49="●","●","")</f>
        <v/>
      </c>
      <c r="AU24" s="123"/>
      <c r="AV24" s="123"/>
      <c r="AW24" s="123"/>
      <c r="AX24" s="123"/>
      <c r="AY24" s="123"/>
      <c r="AZ24" s="124"/>
      <c r="BA24" s="18"/>
      <c r="BB24" s="119" t="str">
        <f>IF([4]回答表!R50="●","●","")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IF([4]回答表!X43="●","●","")</f>
        <v/>
      </c>
      <c r="O36" s="99"/>
      <c r="P36" s="99"/>
      <c r="Q36" s="100"/>
      <c r="R36" s="38"/>
      <c r="S36" s="38"/>
      <c r="T36" s="38"/>
      <c r="U36" s="107" t="str">
        <f>IF([4]回答表!X43="●",[4]回答表!B59,IF([4]回答表!AA43="●",[4]回答表!B79,""))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IF([4]回答表!X43="●",[4]回答表!S65,IF([4]回答表!AA43="●",[4]回答表!S85,""))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IF([4]回答表!X43="●",[4]回答表!G65,IF([4]回答表!AA43="●",[4]回答表!G85,""))</f>
        <v/>
      </c>
      <c r="AN38" s="120"/>
      <c r="AO38" s="120"/>
      <c r="AP38" s="120"/>
      <c r="AQ38" s="120"/>
      <c r="AR38" s="120"/>
      <c r="AS38" s="120"/>
      <c r="AT38" s="121"/>
      <c r="AU38" s="119" t="str">
        <f>IF([4]回答表!X43="●",[4]回答表!G66,IF([4]回答表!AA43="●",[4]回答表!G86,""))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IF([4]回答表!X43="●",[4]回答表!V65,IF([4]回答表!AA43="●",[4]回答表!V85,""))</f>
        <v/>
      </c>
      <c r="BG39" s="249"/>
      <c r="BH39" s="249"/>
      <c r="BI39" s="250"/>
      <c r="BJ39" s="83" t="str">
        <f>IF([4]回答表!X43="●",[4]回答表!V66,IF([4]回答表!AA43="●",[4]回答表!V86,""))</f>
        <v/>
      </c>
      <c r="BK39" s="249"/>
      <c r="BL39" s="249"/>
      <c r="BM39" s="250"/>
      <c r="BN39" s="83" t="str">
        <f>IF([4]回答表!X43="●",[4]回答表!V67,IF([4]回答表!AA43="●",[4]回答表!V87,""))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IF([4]回答表!X43="●",[4]回答表!O71,IF([4]回答表!AA43="●",[4]回答表!O91,""))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IF([4]回答表!X43="●",[4]回答表!O72,IF([4]回答表!AA43="●",[4]回答表!O92,""))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IF([4]回答表!AA43="●","●","")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IF([4]回答表!X43="●",[4]回答表!O73,IF([4]回答表!AA43="●",[4]回答表!O93,""))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IF([4]回答表!X43="●",[4]回答表!O74,IF([4]回答表!AA43="●",[4]回答表!O94,""))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IF([4]回答表!X43="●",[4]回答表!AG71,IF([4]回答表!AA43="●",[4]回答表!AG91,""))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IF([4]回答表!X43="●",[4]回答表!AG72,IF([4]回答表!AA43="●",[4]回答表!AG92,""))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IF([4]回答表!AD43="●","●","")</f>
        <v/>
      </c>
      <c r="O51" s="99"/>
      <c r="P51" s="99"/>
      <c r="Q51" s="100"/>
      <c r="R51" s="38"/>
      <c r="S51" s="38"/>
      <c r="T51" s="38"/>
      <c r="U51" s="107" t="str">
        <f>IF([4]回答表!AD43="●",[4]回答表!B99,"")</f>
        <v/>
      </c>
      <c r="V51" s="108"/>
      <c r="W51" s="108"/>
      <c r="X51" s="108"/>
      <c r="Y51" s="108"/>
      <c r="Z51" s="108"/>
      <c r="AA51" s="108"/>
      <c r="AB51" s="108"/>
      <c r="AC51" s="108"/>
      <c r="AD51" s="108"/>
      <c r="AE51" s="108"/>
      <c r="AF51" s="108"/>
      <c r="AG51" s="108"/>
      <c r="AH51" s="108"/>
      <c r="AI51" s="108"/>
      <c r="AJ51" s="109"/>
      <c r="AK51" s="55"/>
      <c r="AL51" s="55"/>
      <c r="AM51" s="107" t="str">
        <f>IF([4]回答表!AD43="●",[4]回答表!B104,"")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IF([4]回答表!X44="●","●","")</f>
        <v/>
      </c>
      <c r="O62" s="99"/>
      <c r="P62" s="99"/>
      <c r="Q62" s="100"/>
      <c r="R62" s="38"/>
      <c r="S62" s="38"/>
      <c r="T62" s="38"/>
      <c r="U62" s="107" t="str">
        <f>IF([4]回答表!X44="●",[4]回答表!B115,IF([4]回答表!AA44="●",[4]回答表!B127,""))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IF([4]回答表!X44="●",[4]回答表!S121,IF([4]回答表!AA44="●",[4]回答表!S133,""))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IF([4]回答表!X44="●",[4]回答表!J121,IF([4]回答表!AA44="●",[4]回答表!J133,""))</f>
        <v/>
      </c>
      <c r="AN65" s="120"/>
      <c r="AO65" s="120"/>
      <c r="AP65" s="120"/>
      <c r="AQ65" s="120"/>
      <c r="AR65" s="120"/>
      <c r="AS65" s="120"/>
      <c r="AT65" s="121"/>
      <c r="AU65" s="119" t="str">
        <f>IF([4]回答表!X44="●",[4]回答表!J122,IF([4]回答表!AA44="●",[4]回答表!J134,""))</f>
        <v/>
      </c>
      <c r="AV65" s="120"/>
      <c r="AW65" s="120"/>
      <c r="AX65" s="120"/>
      <c r="AY65" s="120"/>
      <c r="AZ65" s="120"/>
      <c r="BA65" s="120"/>
      <c r="BB65" s="121"/>
      <c r="BC65" s="39"/>
      <c r="BD65" s="34"/>
      <c r="BE65" s="34"/>
      <c r="BF65" s="83" t="str">
        <f>IF([4]回答表!X44="●",[4]回答表!V121,IF([4]回答表!AA44="●",[4]回答表!V133,""))</f>
        <v/>
      </c>
      <c r="BG65" s="84"/>
      <c r="BH65" s="84"/>
      <c r="BI65" s="84"/>
      <c r="BJ65" s="83" t="str">
        <f>IF([4]回答表!X44="●",[4]回答表!V122,IF([4]回答表!AA44="●",[4]回答表!V134,""))</f>
        <v/>
      </c>
      <c r="BK65" s="84"/>
      <c r="BL65" s="84"/>
      <c r="BM65" s="84"/>
      <c r="BN65" s="83" t="str">
        <f>IF([4]回答表!X44="●",[4]回答表!V123,IF([4]回答表!AA44="●",[4]回答表!V135,""))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IF([4]回答表!AA44="●","●","")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IF([4]回答表!AD44="●","●","")</f>
        <v/>
      </c>
      <c r="O74" s="99"/>
      <c r="P74" s="99"/>
      <c r="Q74" s="100"/>
      <c r="R74" s="38"/>
      <c r="S74" s="38"/>
      <c r="T74" s="38"/>
      <c r="U74" s="107" t="str">
        <f>IF([4]回答表!AD44="●",[4]回答表!B140,"")</f>
        <v/>
      </c>
      <c r="V74" s="108"/>
      <c r="W74" s="108"/>
      <c r="X74" s="108"/>
      <c r="Y74" s="108"/>
      <c r="Z74" s="108"/>
      <c r="AA74" s="108"/>
      <c r="AB74" s="108"/>
      <c r="AC74" s="108"/>
      <c r="AD74" s="108"/>
      <c r="AE74" s="108"/>
      <c r="AF74" s="108"/>
      <c r="AG74" s="108"/>
      <c r="AH74" s="108"/>
      <c r="AI74" s="108"/>
      <c r="AJ74" s="109"/>
      <c r="AK74" s="55"/>
      <c r="AL74" s="55"/>
      <c r="AM74" s="107" t="str">
        <f>IF([4]回答表!AD44="●",[4]回答表!B146,"")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IF([4]回答表!F17="水道事業",IF([4]回答表!X45="●","●",""),"")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IF([4]回答表!F17="水道事業",IF([4]回答表!X45="●",[4]回答表!B158,IF([4]回答表!AA45="●",[4]回答表!B223,"")),"")</f>
        <v/>
      </c>
      <c r="AN86" s="212"/>
      <c r="AO86" s="212"/>
      <c r="AP86" s="212"/>
      <c r="AQ86" s="212"/>
      <c r="AR86" s="212"/>
      <c r="AS86" s="212"/>
      <c r="AT86" s="212"/>
      <c r="AU86" s="212"/>
      <c r="AV86" s="212"/>
      <c r="AW86" s="212"/>
      <c r="AX86" s="212"/>
      <c r="AY86" s="212"/>
      <c r="AZ86" s="212"/>
      <c r="BA86" s="212"/>
      <c r="BB86" s="212"/>
      <c r="BC86" s="213"/>
      <c r="BD86" s="34"/>
      <c r="BE86" s="34"/>
      <c r="BF86" s="116" t="str">
        <f>IF([4]回答表!F17="水道事業",IF([4]回答表!X45="●",[4]回答表!B212,IF([4]回答表!AA45="●",[4]回答表!B278,"")),"")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IF([4]回答表!F17="水道事業",IF([4]回答表!X45="●",[4]回答表!J166,IF([4]回答表!AA45="●",[4]回答表!J231,"")),"")</f>
        <v/>
      </c>
      <c r="V88" s="120"/>
      <c r="W88" s="120"/>
      <c r="X88" s="120"/>
      <c r="Y88" s="120"/>
      <c r="Z88" s="120"/>
      <c r="AA88" s="120"/>
      <c r="AB88" s="121"/>
      <c r="AC88" s="119" t="str">
        <f>IF([4]回答表!F17="水道事業",IF([4]回答表!X45="●",[4]回答表!J173,IF([4]回答表!AA45="●",[4]回答表!J238,"")),"")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IF([4]回答表!F17="水道事業",IF([4]回答表!X45="●",[4]回答表!E212,IF([4]回答表!AA45="●",[4]回答表!E278,"")),"")</f>
        <v/>
      </c>
      <c r="BG89" s="84"/>
      <c r="BH89" s="84"/>
      <c r="BI89" s="84"/>
      <c r="BJ89" s="83" t="str">
        <f>IF([4]回答表!F17="水道事業",IF([4]回答表!X45="●",[4]回答表!E213,IF([4]回答表!AA45="●",[4]回答表!E279,"")),"")</f>
        <v/>
      </c>
      <c r="BK89" s="84"/>
      <c r="BL89" s="84"/>
      <c r="BM89" s="84"/>
      <c r="BN89" s="83" t="str">
        <f>IF([4]回答表!F17="水道事業",IF([4]回答表!X45="●",[4]回答表!E214,IF([4]回答表!AA45="●",[4]回答表!E280,"")),"")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IF([4]回答表!F17="水道事業",IF([4]回答表!AA45="●","●",""),"")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IF([4]回答表!F17="水道事業",IF([4]回答表!X45="●",[4]回答表!J176,IF([4]回答表!AA45="●",[4]回答表!J241,"")),"")</f>
        <v/>
      </c>
      <c r="V93" s="120"/>
      <c r="W93" s="120"/>
      <c r="X93" s="120"/>
      <c r="Y93" s="120"/>
      <c r="Z93" s="120"/>
      <c r="AA93" s="120"/>
      <c r="AB93" s="121"/>
      <c r="AC93" s="119" t="str">
        <f>IF([4]回答表!F17="水道事業",IF([4]回答表!X45="●",[4]回答表!J180,IF([4]回答表!AA45="●",[4]回答表!J245,"")),"")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IF([4]回答表!F17="水道事業",IF([4]回答表!AD45="●","●",""),"")</f>
        <v/>
      </c>
      <c r="O98" s="99"/>
      <c r="P98" s="99"/>
      <c r="Q98" s="100"/>
      <c r="R98" s="38"/>
      <c r="S98" s="38"/>
      <c r="T98" s="38"/>
      <c r="U98" s="107" t="str">
        <f>IF([4]回答表!F17="水道事業",IF([4]回答表!AD45="●",[4]回答表!B289,""),"")</f>
        <v/>
      </c>
      <c r="V98" s="108"/>
      <c r="W98" s="108"/>
      <c r="X98" s="108"/>
      <c r="Y98" s="108"/>
      <c r="Z98" s="108"/>
      <c r="AA98" s="108"/>
      <c r="AB98" s="108"/>
      <c r="AC98" s="108"/>
      <c r="AD98" s="108"/>
      <c r="AE98" s="108"/>
      <c r="AF98" s="108"/>
      <c r="AG98" s="108"/>
      <c r="AH98" s="108"/>
      <c r="AI98" s="108"/>
      <c r="AJ98" s="109"/>
      <c r="AK98" s="55"/>
      <c r="AL98" s="55"/>
      <c r="AM98" s="107" t="str">
        <f>IF([4]回答表!F17="水道事業",IF([4]回答表!AD45="●",[4]回答表!B295,""),"")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IF([4]回答表!F17="簡易水道事業",IF([4]回答表!X45="●",[4]回答表!B158,IF([4]回答表!AA45="●",[4]回答表!B223,"")),"")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IF([4]回答表!F17="簡易水道事業",IF([4]回答表!X45="●",[4]回答表!B212,IF([4]回答表!AA45="●",[4]回答表!B278,"")),"")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IF([4]回答表!F17="簡易水道事業",IF([4]回答表!X45="●","●",""),"")</f>
        <v/>
      </c>
      <c r="O112" s="99"/>
      <c r="P112" s="99"/>
      <c r="Q112" s="100"/>
      <c r="R112" s="38"/>
      <c r="S112" s="38"/>
      <c r="T112" s="38"/>
      <c r="U112" s="119" t="str">
        <f>IF([4]回答表!F17="簡易水道事業",IF([4]回答表!X45="●",[4]回答表!Y185,IF([4]回答表!AA45="●",[4]回答表!Y251,"")),"")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IF([4]回答表!F17="簡易水道事業",IF([4]回答表!X45="●",[4]回答表!E212,IF([4]回答表!AA45="●",[4]回答表!E278,"")),"")</f>
        <v/>
      </c>
      <c r="BG113" s="84"/>
      <c r="BH113" s="84"/>
      <c r="BI113" s="84"/>
      <c r="BJ113" s="83" t="str">
        <f>IF([4]回答表!F17="簡易水道事業",IF([4]回答表!X45="●",[4]回答表!E213,IF([4]回答表!AA45="●",[4]回答表!E279,"")),"")</f>
        <v/>
      </c>
      <c r="BK113" s="84"/>
      <c r="BL113" s="84"/>
      <c r="BM113" s="84"/>
      <c r="BN113" s="83" t="str">
        <f>IF([4]回答表!F17="簡易水道事業",IF([4]回答表!X45="●",[4]回答表!E214,IF([4]回答表!AA45="●",[4]回答表!E280,"")),"")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IF([4]回答表!F17="簡易水道事業",IF([4]回答表!X45="●",[4]回答表!Y186,IF([4]回答表!AA45="●",[4]回答表!Y252,"")),"")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IF([4]回答表!F17="簡易水道事業",IF([4]回答表!AA45="●","●",""),"")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IF([4]回答表!F17="簡易水道事業",IF([4]回答表!X45="●",[4]回答表!Y187,IF([4]回答表!AA45="●",[4]回答表!Y253,"")),"")</f>
        <v/>
      </c>
      <c r="V122" s="120"/>
      <c r="W122" s="120"/>
      <c r="X122" s="120"/>
      <c r="Y122" s="120"/>
      <c r="Z122" s="120"/>
      <c r="AA122" s="120"/>
      <c r="AB122" s="120"/>
      <c r="AC122" s="120"/>
      <c r="AD122" s="120"/>
      <c r="AE122" s="120"/>
      <c r="AF122" s="120"/>
      <c r="AG122" s="120"/>
      <c r="AH122" s="120"/>
      <c r="AI122" s="120"/>
      <c r="AJ122" s="121"/>
      <c r="AK122" s="18"/>
      <c r="AL122" s="18"/>
      <c r="AM122" s="228" t="str">
        <f>IF([4]回答表!F17="簡易水道事業",IF([4]回答表!X45="●",[4]回答表!Y189,IF([4]回答表!AA45="●",[4]回答表!Y255,"")),"")</f>
        <v/>
      </c>
      <c r="AN122" s="228"/>
      <c r="AO122" s="228"/>
      <c r="AP122" s="228"/>
      <c r="AQ122" s="228"/>
      <c r="AR122" s="228"/>
      <c r="AS122" s="228" t="str">
        <f>IF([4]回答表!F17="簡易水道事業",IF([4]回答表!X45="●",[4]回答表!Y190,IF([4]回答表!AA45="●",[4]回答表!Y256,"")),"")</f>
        <v/>
      </c>
      <c r="AT122" s="228"/>
      <c r="AU122" s="228"/>
      <c r="AV122" s="228"/>
      <c r="AW122" s="228"/>
      <c r="AX122" s="228"/>
      <c r="AY122" s="228" t="str">
        <f>IF([4]回答表!F17="簡易水道事業",IF([4]回答表!X45="●",[4]回答表!Y191,IF([4]回答表!AA45="●",[4]回答表!Y257,"")),"")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IF([4]回答表!F17="簡易水道事業",IF([4]回答表!AD45="●","●",""),"")</f>
        <v/>
      </c>
      <c r="O127" s="99"/>
      <c r="P127" s="99"/>
      <c r="Q127" s="100"/>
      <c r="R127" s="38"/>
      <c r="S127" s="38"/>
      <c r="T127" s="38"/>
      <c r="U127" s="107" t="str">
        <f>IF([4]回答表!F17="簡易水道事業",IF([4]回答表!AD45="●",[4]回答表!B289,""),"")</f>
        <v/>
      </c>
      <c r="V127" s="108"/>
      <c r="W127" s="108"/>
      <c r="X127" s="108"/>
      <c r="Y127" s="108"/>
      <c r="Z127" s="108"/>
      <c r="AA127" s="108"/>
      <c r="AB127" s="108"/>
      <c r="AC127" s="108"/>
      <c r="AD127" s="108"/>
      <c r="AE127" s="108"/>
      <c r="AF127" s="108"/>
      <c r="AG127" s="108"/>
      <c r="AH127" s="108"/>
      <c r="AI127" s="108"/>
      <c r="AJ127" s="109"/>
      <c r="AK127" s="55"/>
      <c r="AL127" s="55"/>
      <c r="AM127" s="107" t="str">
        <f>IF([4]回答表!F17="簡易水道事業",IF([4]回答表!AD45="●",[4]回答表!B295,""),"")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IF([4]回答表!F17="下水道事業",IF([4]回答表!X45="●","●",""),"")</f>
        <v>●</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IF([4]回答表!F17="下水道事業",IF([4]回答表!X45="●",[4]回答表!B158,IF([4]回答表!AA45="●",[4]回答表!B223,"")),"")</f>
        <v>平成６年供用開始し、２０年経過していた旧山田中央浄化センターについて、平成２８年から平成２９年度の管渠工事等を行い、近隣にある山田東部浄化センターに流入させて施設の統合を図った。（平成２９年度より）</v>
      </c>
      <c r="AN139" s="212"/>
      <c r="AO139" s="212"/>
      <c r="AP139" s="212"/>
      <c r="AQ139" s="212"/>
      <c r="AR139" s="212"/>
      <c r="AS139" s="212"/>
      <c r="AT139" s="212"/>
      <c r="AU139" s="212"/>
      <c r="AV139" s="212"/>
      <c r="AW139" s="212"/>
      <c r="AX139" s="212"/>
      <c r="AY139" s="212"/>
      <c r="AZ139" s="212"/>
      <c r="BA139" s="212"/>
      <c r="BB139" s="212"/>
      <c r="BC139" s="213"/>
      <c r="BD139" s="34"/>
      <c r="BE139" s="34"/>
      <c r="BF139" s="116" t="str">
        <f>IF([4]回答表!F17="下水道事業",IF([4]回答表!X45="●",[4]回答表!B212,IF([4]回答表!AA45="●",[4]回答表!B278,"")),"")</f>
        <v>平成</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IF([4]回答表!F17="下水道事業",IF([4]回答表!X45="●",[4]回答表!Y193,IF([4]回答表!AA45="●",[4]回答表!Y259,"")),"")</f>
        <v>●</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IF([4]回答表!F17="下水道事業",IF([4]回答表!X45="●",[4]回答表!E212,IF([4]回答表!AA45="●",[4]回答表!E278,"")),"")</f>
        <v>30</v>
      </c>
      <c r="BG142" s="84"/>
      <c r="BH142" s="84"/>
      <c r="BI142" s="84"/>
      <c r="BJ142" s="83">
        <f>IF([4]回答表!F17="下水道事業",IF([4]回答表!X45="●",[4]回答表!E213,IF([4]回答表!AA45="●",[4]回答表!E279,"")),"")</f>
        <v>3</v>
      </c>
      <c r="BK142" s="84"/>
      <c r="BL142" s="84"/>
      <c r="BM142" s="84"/>
      <c r="BN142" s="83">
        <f>IF([4]回答表!F17="下水道事業",IF([4]回答表!X45="●",[4]回答表!E214,IF([4]回答表!AA45="●",[4]回答表!E280,"")),"")</f>
        <v>31</v>
      </c>
      <c r="BO142" s="84"/>
      <c r="BP142" s="84"/>
      <c r="BQ142" s="87"/>
      <c r="BR142" s="37"/>
      <c r="BX142" s="211" t="str">
        <f>IF([4]回答表!AQ20="下水道事業",IF([4]回答表!BI48="○",[4]回答表!AM161,IF([4]回答表!BL48="○",[4]回答表!AM226,"")),"")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IF([4]回答表!F17="下水道事業",IF([4]回答表!X45="●",[4]回答表!Y195,IF([4]回答表!AA45="●",[4]回答表!Y261,"")),"")</f>
        <v>●</v>
      </c>
      <c r="V147" s="120"/>
      <c r="W147" s="120"/>
      <c r="X147" s="120"/>
      <c r="Y147" s="120"/>
      <c r="Z147" s="120"/>
      <c r="AA147" s="120"/>
      <c r="AB147" s="121"/>
      <c r="AC147" s="119" t="str">
        <f>IF([4]回答表!F17="下水道事業",IF([4]回答表!X45="●",[4]回答表!Y196,IF([4]回答表!AA45="●",[4]回答表!Y262,"")),"")</f>
        <v xml:space="preserve">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22.5"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IF([4]回答表!F17="下水道事業",IF([4]回答表!X45="●",[4]回答表!Y198,IF([4]回答表!AA45="●",[4]回答表!Y264,"")),"")</f>
        <v xml:space="preserve"> </v>
      </c>
      <c r="V153" s="120"/>
      <c r="W153" s="120"/>
      <c r="X153" s="120"/>
      <c r="Y153" s="120"/>
      <c r="Z153" s="120"/>
      <c r="AA153" s="120"/>
      <c r="AB153" s="121"/>
      <c r="AC153" s="119" t="str">
        <f>IF([4]回答表!F17="下水道事業",IF([4]回答表!X45="●",[4]回答表!Y199,IF([4]回答表!AA45="●",[4]回答表!Y265,"")),"")</f>
        <v xml:space="preserve"> </v>
      </c>
      <c r="AD153" s="120"/>
      <c r="AE153" s="120"/>
      <c r="AF153" s="120"/>
      <c r="AG153" s="120"/>
      <c r="AH153" s="120"/>
      <c r="AI153" s="120"/>
      <c r="AJ153" s="121"/>
      <c r="AK153" s="119" t="str">
        <f>IF([4]回答表!F17="下水道事業",IF([4]回答表!X45="●",[4]回答表!Y200,IF([4]回答表!AA45="●",[4]回答表!Y266,"")),"")</f>
        <v xml:space="preserve"> </v>
      </c>
      <c r="AL153" s="120"/>
      <c r="AM153" s="120"/>
      <c r="AN153" s="120"/>
      <c r="AO153" s="120"/>
      <c r="AP153" s="120"/>
      <c r="AQ153" s="120"/>
      <c r="AR153" s="121"/>
      <c r="AS153" s="119" t="str">
        <f>IF([4]回答表!F17="下水道事業",IF([4]回答表!X45="●",[4]回答表!Y201,IF([4]回答表!AA45="●",[4]回答表!Y267,"")),"")</f>
        <v xml:space="preserve"> </v>
      </c>
      <c r="AT153" s="120"/>
      <c r="AU153" s="120"/>
      <c r="AV153" s="120"/>
      <c r="AW153" s="120"/>
      <c r="AX153" s="120"/>
      <c r="AY153" s="120"/>
      <c r="AZ153" s="121"/>
      <c r="BA153" s="119" t="str">
        <f>IF([4]回答表!F17="下水道事業",IF([4]回答表!X45="●",[4]回答表!Y202,IF([4]回答表!AA45="●",[4]回答表!Y268,"")),"")</f>
        <v>●</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IF([4]回答表!F17="下水道事業",IF([4]回答表!AA45="●","●",""),"")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IF([4]回答表!F17="下水道事業",IF([4]回答表!X45="●",[4]回答表!Y207,IF([4]回答表!AA45="●",[4]回答表!Y273,"")),"")</f>
        <v xml:space="preserve"> </v>
      </c>
      <c r="V159" s="120"/>
      <c r="W159" s="120"/>
      <c r="X159" s="120"/>
      <c r="Y159" s="120"/>
      <c r="Z159" s="120"/>
      <c r="AA159" s="120"/>
      <c r="AB159" s="121"/>
      <c r="AC159" s="119" t="str">
        <f>IF([4]回答表!F17="下水道事業",IF([4]回答表!X45="●",[4]回答表!Y208,IF([4]回答表!AA45="●",[4]回答表!Y274,"")),"")</f>
        <v xml:space="preserve"> </v>
      </c>
      <c r="AD159" s="120"/>
      <c r="AE159" s="120"/>
      <c r="AF159" s="120"/>
      <c r="AG159" s="120"/>
      <c r="AH159" s="120"/>
      <c r="AI159" s="120"/>
      <c r="AJ159" s="121"/>
      <c r="AK159" s="119" t="str">
        <f>IF([4]回答表!F17="下水道事業",IF([4]回答表!X45="●",[4]回答表!Y209,IF([4]回答表!AA45="●",[4]回答表!Y275,"")),"")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IF([4]回答表!F17="下水道事業",IF([4]回答表!AD45="●","●",""),"")</f>
        <v/>
      </c>
      <c r="O164" s="99"/>
      <c r="P164" s="99"/>
      <c r="Q164" s="100"/>
      <c r="R164" s="38"/>
      <c r="S164" s="38"/>
      <c r="T164" s="38"/>
      <c r="U164" s="107" t="str">
        <f>IF([4]回答表!F17="下水道事業",IF([4]回答表!AD45="●",[4]回答表!B289,""),"")</f>
        <v/>
      </c>
      <c r="V164" s="108"/>
      <c r="W164" s="108"/>
      <c r="X164" s="108"/>
      <c r="Y164" s="108"/>
      <c r="Z164" s="108"/>
      <c r="AA164" s="108"/>
      <c r="AB164" s="108"/>
      <c r="AC164" s="108"/>
      <c r="AD164" s="108"/>
      <c r="AE164" s="108"/>
      <c r="AF164" s="108"/>
      <c r="AG164" s="108"/>
      <c r="AH164" s="108"/>
      <c r="AI164" s="108"/>
      <c r="AJ164" s="109"/>
      <c r="AK164" s="55"/>
      <c r="AL164" s="55"/>
      <c r="AM164" s="107" t="str">
        <f>IF([4]回答表!F17="下水道事業",IF([4]回答表!AD45="●",[4]回答表!B295,""),"")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IF([4]回答表!BD17="●",IF([4]回答表!X45="●","●",""),"")</f>
        <v/>
      </c>
      <c r="O176" s="99"/>
      <c r="P176" s="99"/>
      <c r="Q176" s="100"/>
      <c r="R176" s="38"/>
      <c r="S176" s="38"/>
      <c r="T176" s="38"/>
      <c r="U176" s="107" t="str">
        <f>IF([4]回答表!BD17="●",IF([4]回答表!X45="●",[4]回答表!B158,IF([4]回答表!AA45="●",[4]回答表!B223,"")),"")</f>
        <v/>
      </c>
      <c r="V176" s="108"/>
      <c r="W176" s="108"/>
      <c r="X176" s="108"/>
      <c r="Y176" s="108"/>
      <c r="Z176" s="108"/>
      <c r="AA176" s="108"/>
      <c r="AB176" s="108"/>
      <c r="AC176" s="108"/>
      <c r="AD176" s="108"/>
      <c r="AE176" s="108"/>
      <c r="AF176" s="108"/>
      <c r="AG176" s="108"/>
      <c r="AH176" s="108"/>
      <c r="AI176" s="108"/>
      <c r="AJ176" s="109"/>
      <c r="AK176" s="49"/>
      <c r="AL176" s="49"/>
      <c r="AM176" s="116" t="str">
        <f>IF([4]回答表!BD17="●",IF([4]回答表!X45="●",[4]回答表!B212,IF([4]回答表!AA45="●",[4]回答表!B278,"")),"")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IF([4]回答表!BD17="●",IF([4]回答表!X45="●",[4]回答表!E212,IF([4]回答表!AA45="●",[4]回答表!E278,"")),"")</f>
        <v/>
      </c>
      <c r="AN179" s="84"/>
      <c r="AO179" s="84"/>
      <c r="AP179" s="84"/>
      <c r="AQ179" s="83" t="str">
        <f>IF([4]回答表!BD17="●",IF([4]回答表!X45="●",[4]回答表!E213,IF([4]回答表!AA45="●",[4]回答表!E279,"")),"")</f>
        <v/>
      </c>
      <c r="AR179" s="84"/>
      <c r="AS179" s="84"/>
      <c r="AT179" s="84"/>
      <c r="AU179" s="83" t="str">
        <f>IF([4]回答表!BD17="●",IF([4]回答表!X45="●",[4]回答表!E214,IF([4]回答表!AA45="●",[4]回答表!E280,"")),"")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IF([4]回答表!BD17="●",IF([4]回答表!AA45="●","●",""),"")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IF([4]回答表!BD17="●",IF([4]回答表!AD45="●","●",""),"")</f>
        <v/>
      </c>
      <c r="O188" s="99"/>
      <c r="P188" s="99"/>
      <c r="Q188" s="100"/>
      <c r="R188" s="38"/>
      <c r="S188" s="38"/>
      <c r="T188" s="38"/>
      <c r="U188" s="107" t="str">
        <f>IF([4]回答表!BD17="●",IF([4]回答表!AD45="●",[4]回答表!B289,""),"")</f>
        <v/>
      </c>
      <c r="V188" s="108"/>
      <c r="W188" s="108"/>
      <c r="X188" s="108"/>
      <c r="Y188" s="108"/>
      <c r="Z188" s="108"/>
      <c r="AA188" s="108"/>
      <c r="AB188" s="108"/>
      <c r="AC188" s="108"/>
      <c r="AD188" s="108"/>
      <c r="AE188" s="108"/>
      <c r="AF188" s="108"/>
      <c r="AG188" s="108"/>
      <c r="AH188" s="108"/>
      <c r="AI188" s="108"/>
      <c r="AJ188" s="109"/>
      <c r="AK188" s="55"/>
      <c r="AL188" s="55"/>
      <c r="AM188" s="107" t="str">
        <f>IF([4]回答表!BD17="●",IF([4]回答表!AD45="●",[4]回答表!B295,""),"")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IF([4]回答表!X46="●","●","")</f>
        <v/>
      </c>
      <c r="O200" s="99"/>
      <c r="P200" s="99"/>
      <c r="Q200" s="100"/>
      <c r="R200" s="38"/>
      <c r="S200" s="38"/>
      <c r="T200" s="38"/>
      <c r="U200" s="107" t="str">
        <f>IF([4]回答表!X46="●",[4]回答表!B307,IF([4]回答表!AA46="●",[4]回答表!B324,""))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IF([4]回答表!X46="●",[4]回答表!U313,IF([4]回答表!AA46="●",[4]回答表!U330,""))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IF([4]回答表!X46="●",[4]回答表!G313,IF([4]回答表!AA46="●",[4]回答表!G330,""))</f>
        <v/>
      </c>
      <c r="AN203" s="120"/>
      <c r="AO203" s="120"/>
      <c r="AP203" s="120"/>
      <c r="AQ203" s="120"/>
      <c r="AR203" s="120"/>
      <c r="AS203" s="120"/>
      <c r="AT203" s="121"/>
      <c r="AU203" s="119" t="str">
        <f>IF([4]回答表!X46="●",[4]回答表!G314,IF([4]回答表!AA46="●",[4]回答表!G331,""))</f>
        <v/>
      </c>
      <c r="AV203" s="120"/>
      <c r="AW203" s="120"/>
      <c r="AX203" s="120"/>
      <c r="AY203" s="120"/>
      <c r="AZ203" s="120"/>
      <c r="BA203" s="120"/>
      <c r="BB203" s="121"/>
      <c r="BC203" s="39"/>
      <c r="BD203" s="34"/>
      <c r="BE203" s="34"/>
      <c r="BF203" s="83" t="str">
        <f>IF([4]回答表!X46="●",[4]回答表!X313,IF([4]回答表!AA46="●",[4]回答表!X330,""))</f>
        <v/>
      </c>
      <c r="BG203" s="84"/>
      <c r="BH203" s="84"/>
      <c r="BI203" s="84"/>
      <c r="BJ203" s="83" t="str">
        <f>IF([4]回答表!X46="●",[4]回答表!X314,IF([4]回答表!AA46="●",[4]回答表!X331,""))</f>
        <v/>
      </c>
      <c r="BK203" s="84"/>
      <c r="BL203" s="84"/>
      <c r="BM203" s="87"/>
      <c r="BN203" s="83" t="str">
        <f>IF([4]回答表!X46="●",[4]回答表!X315,IF([4]回答表!AA46="●",[4]回答表!X332,""))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IF([4]回答表!AA46="●","●","")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IF([4]回答表!AD46="●","●","")</f>
        <v/>
      </c>
      <c r="O212" s="99"/>
      <c r="P212" s="99"/>
      <c r="Q212" s="100"/>
      <c r="R212" s="38"/>
      <c r="S212" s="38"/>
      <c r="T212" s="38"/>
      <c r="U212" s="107" t="str">
        <f>IF([4]回答表!AD46="●",[4]回答表!B337,"")</f>
        <v/>
      </c>
      <c r="V212" s="108"/>
      <c r="W212" s="108"/>
      <c r="X212" s="108"/>
      <c r="Y212" s="108"/>
      <c r="Z212" s="108"/>
      <c r="AA212" s="108"/>
      <c r="AB212" s="108"/>
      <c r="AC212" s="108"/>
      <c r="AD212" s="108"/>
      <c r="AE212" s="108"/>
      <c r="AF212" s="108"/>
      <c r="AG212" s="108"/>
      <c r="AH212" s="108"/>
      <c r="AI212" s="108"/>
      <c r="AJ212" s="109"/>
      <c r="AK212" s="62"/>
      <c r="AL212" s="62"/>
      <c r="AM212" s="107" t="str">
        <f>IF([4]回答表!AD46="●",[4]回答表!B343,"")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IF([4]回答表!X47="●","●","")</f>
        <v/>
      </c>
      <c r="O224" s="99"/>
      <c r="P224" s="99"/>
      <c r="Q224" s="100"/>
      <c r="R224" s="38"/>
      <c r="S224" s="38"/>
      <c r="T224" s="38"/>
      <c r="U224" s="107" t="str">
        <f>IF([4]回答表!X47="●",[4]回答表!B356,IF([4]回答表!AA47="●",[4]回答表!B379,""))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IF([4]回答表!X47="●",[4]回答表!B362,"")</f>
        <v/>
      </c>
      <c r="AO224" s="182"/>
      <c r="AP224" s="182"/>
      <c r="AQ224" s="182"/>
      <c r="AR224" s="182"/>
      <c r="AS224" s="182"/>
      <c r="AT224" s="182"/>
      <c r="AU224" s="182"/>
      <c r="AV224" s="182"/>
      <c r="AW224" s="182"/>
      <c r="AX224" s="182"/>
      <c r="AY224" s="182"/>
      <c r="AZ224" s="182"/>
      <c r="BA224" s="182"/>
      <c r="BB224" s="183"/>
      <c r="BC224" s="39"/>
      <c r="BD224" s="34"/>
      <c r="BE224" s="34"/>
      <c r="BF224" s="116" t="str">
        <f>IF([4]回答表!X47="●",[4]回答表!B368,IF([4]回答表!AA47="●",[4]回答表!B385,""))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IF([4]回答表!X47="●",[4]回答表!E368,IF([4]回答表!AA47="●",[4]回答表!E385,""))</f>
        <v/>
      </c>
      <c r="BG227" s="84"/>
      <c r="BH227" s="84"/>
      <c r="BI227" s="84"/>
      <c r="BJ227" s="83" t="str">
        <f>IF([4]回答表!X47="●",[4]回答表!E369,IF([4]回答表!AA47="●",[4]回答表!E386,""))</f>
        <v/>
      </c>
      <c r="BK227" s="84"/>
      <c r="BL227" s="84"/>
      <c r="BM227" s="87"/>
      <c r="BN227" s="83" t="str">
        <f>IF([4]回答表!X47="●",[4]回答表!E370,IF([4]回答表!AA47="●",[4]回答表!E387,""))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IF([4]回答表!AA47="●","●","")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42" customHeight="1" x14ac:dyDescent="0.4">
      <c r="C236" s="32"/>
      <c r="D236" s="89" t="s">
        <v>33</v>
      </c>
      <c r="E236" s="90"/>
      <c r="F236" s="90"/>
      <c r="G236" s="90"/>
      <c r="H236" s="90"/>
      <c r="I236" s="90"/>
      <c r="J236" s="90"/>
      <c r="K236" s="90"/>
      <c r="L236" s="90"/>
      <c r="M236" s="91"/>
      <c r="N236" s="98" t="str">
        <f>IF([4]回答表!AD47="●","●","")</f>
        <v>●</v>
      </c>
      <c r="O236" s="99"/>
      <c r="P236" s="99"/>
      <c r="Q236" s="100"/>
      <c r="R236" s="38"/>
      <c r="S236" s="38"/>
      <c r="T236" s="38"/>
      <c r="U236" s="107" t="str">
        <f>IF([4]回答表!AD47="●",[4]回答表!B392,"")</f>
        <v>稼働中の農業集落排水処理施設４箇所及びマンホールポンプ施設を対象とした施設管理運営業務の他、ユーティリティの調達及び５０万円未満の保守修繕業務を検討中。</v>
      </c>
      <c r="V236" s="108"/>
      <c r="W236" s="108"/>
      <c r="X236" s="108"/>
      <c r="Y236" s="108"/>
      <c r="Z236" s="108"/>
      <c r="AA236" s="108"/>
      <c r="AB236" s="108"/>
      <c r="AC236" s="108"/>
      <c r="AD236" s="108"/>
      <c r="AE236" s="108"/>
      <c r="AF236" s="108"/>
      <c r="AG236" s="108"/>
      <c r="AH236" s="108"/>
      <c r="AI236" s="108"/>
      <c r="AJ236" s="109"/>
      <c r="AK236" s="62"/>
      <c r="AL236" s="62"/>
      <c r="AM236" s="107" t="str">
        <f>IF([4]回答表!AD47="●",[4]回答表!B398,"")</f>
        <v>現在、一部業務を管理委託している任意組合の包括的民間委託に対する理解が必要不可欠である。</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42"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42"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42"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IF([4]回答表!X48="●","●","")</f>
        <v/>
      </c>
      <c r="O248" s="99"/>
      <c r="P248" s="99"/>
      <c r="Q248" s="100"/>
      <c r="R248" s="38"/>
      <c r="S248" s="38"/>
      <c r="T248" s="38"/>
      <c r="U248" s="107" t="str">
        <f>IF([4]回答表!X48="●",[4]回答表!B411,IF([4]回答表!AA48="●",[4]回答表!B425,""))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IF([4]回答表!X48="●",[4]回答表!BC418,IF([4]回答表!AA48="●",[4]回答表!BC432,""))</f>
        <v/>
      </c>
      <c r="AR248" s="151"/>
      <c r="AS248" s="151"/>
      <c r="AT248" s="151"/>
      <c r="AU248" s="173" t="s">
        <v>73</v>
      </c>
      <c r="AV248" s="174"/>
      <c r="AW248" s="174"/>
      <c r="AX248" s="175"/>
      <c r="AY248" s="151" t="str">
        <f>IF([4]回答表!X48="●",[4]回答表!BC423,IF([4]回答表!AA48="●",[4]回答表!BC437,""))</f>
        <v/>
      </c>
      <c r="AZ248" s="151"/>
      <c r="BA248" s="151"/>
      <c r="BB248" s="151"/>
      <c r="BC248" s="39"/>
      <c r="BD248" s="34"/>
      <c r="BE248" s="34"/>
      <c r="BF248" s="116" t="str">
        <f>IF([4]回答表!X48="●",[4]回答表!S417,IF([4]回答表!AA48="●",[4]回答表!S431,""))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IF([4]回答表!X48="●",[4]回答表!BC419,IF([4]回答表!AA48="●",[4]回答表!BC433,""))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IF([4]回答表!X48="●",[4]回答表!V417,IF([4]回答表!AA48="●",[4]回答表!V431,""))</f>
        <v/>
      </c>
      <c r="BG251" s="84"/>
      <c r="BH251" s="84"/>
      <c r="BI251" s="84"/>
      <c r="BJ251" s="83" t="str">
        <f>IF([4]回答表!X48="●",[4]回答表!V418,IF([4]回答表!AA48="●",[4]回答表!V432,""))</f>
        <v/>
      </c>
      <c r="BK251" s="84"/>
      <c r="BL251" s="84"/>
      <c r="BM251" s="87"/>
      <c r="BN251" s="83" t="str">
        <f>IF([4]回答表!X48="●",[4]回答表!V419,IF([4]回答表!AA48="●",[4]回答表!V433,""))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IF([4]回答表!X48="●",[4]回答表!BC420,IF([4]回答表!AA48="●",[4]回答表!BC434,""))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IF([4]回答表!X48="●",[4]回答表!BC424,IF([4]回答表!AA48="●",[4]回答表!BC438,""))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IF([4]回答表!AA48="●","●","")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IF([4]回答表!X48="●",[4]回答表!BC421,IF([4]回答表!AA48="●",[4]回答表!BC435,""))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IF([4]回答表!X48="●",[4]回答表!BC422,IF([4]回答表!AA48="●",[4]回答表!BC436,""))</f>
        <v/>
      </c>
      <c r="AR256" s="151"/>
      <c r="AS256" s="151"/>
      <c r="AT256" s="151"/>
      <c r="AU256" s="152" t="s">
        <v>79</v>
      </c>
      <c r="AV256" s="153"/>
      <c r="AW256" s="153"/>
      <c r="AX256" s="154"/>
      <c r="AY256" s="158" t="str">
        <f>IF([4]回答表!X48="●",[4]回答表!BC425,IF([4]回答表!AA48="●",[4]回答表!BC439,""))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IF([4]回答表!AD48="●","●","")</f>
        <v/>
      </c>
      <c r="O260" s="99"/>
      <c r="P260" s="99"/>
      <c r="Q260" s="100"/>
      <c r="R260" s="38"/>
      <c r="S260" s="38"/>
      <c r="T260" s="38"/>
      <c r="U260" s="107" t="str">
        <f>IF([4]回答表!AD48="●",[4]回答表!B439,"")</f>
        <v/>
      </c>
      <c r="V260" s="108"/>
      <c r="W260" s="108"/>
      <c r="X260" s="108"/>
      <c r="Y260" s="108"/>
      <c r="Z260" s="108"/>
      <c r="AA260" s="108"/>
      <c r="AB260" s="108"/>
      <c r="AC260" s="108"/>
      <c r="AD260" s="108"/>
      <c r="AE260" s="108"/>
      <c r="AF260" s="108"/>
      <c r="AG260" s="108"/>
      <c r="AH260" s="108"/>
      <c r="AI260" s="108"/>
      <c r="AJ260" s="109"/>
      <c r="AK260" s="55"/>
      <c r="AL260" s="55"/>
      <c r="AM260" s="107" t="str">
        <f>IF([4]回答表!AD48="●",[4]回答表!B445,"")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IF([4]回答表!X49="●","●","")</f>
        <v/>
      </c>
      <c r="O271" s="99"/>
      <c r="P271" s="99"/>
      <c r="Q271" s="100"/>
      <c r="R271" s="38"/>
      <c r="S271" s="38"/>
      <c r="T271" s="38"/>
      <c r="U271" s="107" t="str">
        <f>IF([4]回答表!X49="●",[4]回答表!B458,IF([4]回答表!AA49="●",[4]回答表!B475,""))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IF([4]回答表!X49="●",[4]回答表!B468,IF([4]回答表!AA49="●",[4]回答表!B485,""))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IF([4]回答表!X49="●",[4]回答表!G464,IF([4]回答表!AA49="●",[4]回答表!G481,""))</f>
        <v/>
      </c>
      <c r="AN273" s="120"/>
      <c r="AO273" s="120"/>
      <c r="AP273" s="120"/>
      <c r="AQ273" s="120"/>
      <c r="AR273" s="120"/>
      <c r="AS273" s="120"/>
      <c r="AT273" s="121"/>
      <c r="AU273" s="119" t="str">
        <f>IF([4]回答表!X49="●",[4]回答表!G465,IF([4]回答表!AA49="●",[4]回答表!G482,""))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IF([4]回答表!X49="●",[4]回答表!E468,IF([4]回答表!AA49="●",[4]回答表!E485,""))</f>
        <v/>
      </c>
      <c r="BG274" s="84"/>
      <c r="BH274" s="84"/>
      <c r="BI274" s="84"/>
      <c r="BJ274" s="83" t="str">
        <f>IF([4]回答表!X49="●",[4]回答表!E469,IF([4]回答表!AA49="●",[4]回答表!E486,""))</f>
        <v/>
      </c>
      <c r="BK274" s="84"/>
      <c r="BL274" s="84"/>
      <c r="BM274" s="87"/>
      <c r="BN274" s="83" t="str">
        <f>IF([4]回答表!X49="●",[4]回答表!E470,IF([4]回答表!AA49="●",[4]回答表!E487,""))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IF([4]回答表!AA49="●","●","")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IF([4]回答表!AD49="●","●","")</f>
        <v/>
      </c>
      <c r="O283" s="99"/>
      <c r="P283" s="99"/>
      <c r="Q283" s="100"/>
      <c r="R283" s="38"/>
      <c r="S283" s="38"/>
      <c r="T283" s="38"/>
      <c r="U283" s="107" t="str">
        <f>IF([4]回答表!AD49="●",[4]回答表!B492,"")</f>
        <v/>
      </c>
      <c r="V283" s="108"/>
      <c r="W283" s="108"/>
      <c r="X283" s="108"/>
      <c r="Y283" s="108"/>
      <c r="Z283" s="108"/>
      <c r="AA283" s="108"/>
      <c r="AB283" s="108"/>
      <c r="AC283" s="108"/>
      <c r="AD283" s="108"/>
      <c r="AE283" s="108"/>
      <c r="AF283" s="108"/>
      <c r="AG283" s="108"/>
      <c r="AH283" s="108"/>
      <c r="AI283" s="108"/>
      <c r="AJ283" s="109"/>
      <c r="AK283" s="49"/>
      <c r="AL283" s="49"/>
      <c r="AM283" s="107" t="str">
        <f>IF([4]回答表!AD49="●",[4]回答表!B498,"")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IF([4]回答表!R50="●",[4]回答表!B511,"")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E045-0694-4C2A-8AA7-4227FA13C03B}">
  <sheetPr>
    <pageSetUpPr fitToPage="1"/>
  </sheetPr>
  <dimension ref="A1:CN315"/>
  <sheetViews>
    <sheetView showZeros="0" view="pageBreakPreview" topLeftCell="A202" zoomScale="60" zoomScaleNormal="55" workbookViewId="0">
      <selection activeCell="U224" sqref="U224:AJ2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IF(COUNTIF([3]回答表!K15,"*")&gt;0,[3]回答表!K15,"")</f>
        <v>湯沢市</v>
      </c>
      <c r="D11" s="299"/>
      <c r="E11" s="299"/>
      <c r="F11" s="299"/>
      <c r="G11" s="299"/>
      <c r="H11" s="299"/>
      <c r="I11" s="299"/>
      <c r="J11" s="299"/>
      <c r="K11" s="299"/>
      <c r="L11" s="299"/>
      <c r="M11" s="299"/>
      <c r="N11" s="299"/>
      <c r="O11" s="299"/>
      <c r="P11" s="299"/>
      <c r="Q11" s="299"/>
      <c r="R11" s="299"/>
      <c r="S11" s="299"/>
      <c r="T11" s="299"/>
      <c r="U11" s="306" t="str">
        <f>IF(COUNTIF([3]回答表!F17,"*")&gt;0,[3]回答表!F17,"")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IF(COUNTIF([3]回答表!W17,"*")&gt;0,[3]回答表!W17,"")</f>
        <v>特定地域排水処理施設</v>
      </c>
      <c r="AP11" s="301"/>
      <c r="AQ11" s="301"/>
      <c r="AR11" s="301"/>
      <c r="AS11" s="301"/>
      <c r="AT11" s="301"/>
      <c r="AU11" s="301"/>
      <c r="AV11" s="301"/>
      <c r="AW11" s="301"/>
      <c r="AX11" s="301"/>
      <c r="AY11" s="301"/>
      <c r="AZ11" s="301"/>
      <c r="BA11" s="301"/>
      <c r="BB11" s="301"/>
      <c r="BC11" s="301"/>
      <c r="BD11" s="301"/>
      <c r="BE11" s="301"/>
      <c r="BF11" s="302"/>
      <c r="BG11" s="305" t="str">
        <f>IF(COUNTIF([3]回答表!F19,"*")&gt;0,[3]回答表!F19,"")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IF([3]回答表!R43="●","●","")</f>
        <v/>
      </c>
      <c r="E24" s="123"/>
      <c r="F24" s="123"/>
      <c r="G24" s="123"/>
      <c r="H24" s="123"/>
      <c r="I24" s="123"/>
      <c r="J24" s="124"/>
      <c r="K24" s="122" t="str">
        <f>IF([3]回答表!R44="●","●","")</f>
        <v/>
      </c>
      <c r="L24" s="123"/>
      <c r="M24" s="123"/>
      <c r="N24" s="123"/>
      <c r="O24" s="123"/>
      <c r="P24" s="123"/>
      <c r="Q24" s="124"/>
      <c r="R24" s="122" t="str">
        <f>IF([3]回答表!R45="●","●","")</f>
        <v/>
      </c>
      <c r="S24" s="123"/>
      <c r="T24" s="123"/>
      <c r="U24" s="123"/>
      <c r="V24" s="123"/>
      <c r="W24" s="123"/>
      <c r="X24" s="124"/>
      <c r="Y24" s="122" t="str">
        <f>IF([3]回答表!R46="●","●","")</f>
        <v/>
      </c>
      <c r="Z24" s="123"/>
      <c r="AA24" s="123"/>
      <c r="AB24" s="123"/>
      <c r="AC24" s="123"/>
      <c r="AD24" s="123"/>
      <c r="AE24" s="124"/>
      <c r="AF24" s="122" t="str">
        <f>IF([3]回答表!R47="●","●","")</f>
        <v>●</v>
      </c>
      <c r="AG24" s="123"/>
      <c r="AH24" s="123"/>
      <c r="AI24" s="123"/>
      <c r="AJ24" s="123"/>
      <c r="AK24" s="123"/>
      <c r="AL24" s="124"/>
      <c r="AM24" s="122" t="str">
        <f>IF([3]回答表!R48="●","●","")</f>
        <v/>
      </c>
      <c r="AN24" s="123"/>
      <c r="AO24" s="123"/>
      <c r="AP24" s="123"/>
      <c r="AQ24" s="123"/>
      <c r="AR24" s="123"/>
      <c r="AS24" s="124"/>
      <c r="AT24" s="122" t="str">
        <f>IF([3]回答表!R49="●","●","")</f>
        <v/>
      </c>
      <c r="AU24" s="123"/>
      <c r="AV24" s="123"/>
      <c r="AW24" s="123"/>
      <c r="AX24" s="123"/>
      <c r="AY24" s="123"/>
      <c r="AZ24" s="124"/>
      <c r="BA24" s="18"/>
      <c r="BB24" s="119" t="str">
        <f>IF([3]回答表!R50="●","●","")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IF([3]回答表!X43="●","●","")</f>
        <v/>
      </c>
      <c r="O36" s="99"/>
      <c r="P36" s="99"/>
      <c r="Q36" s="100"/>
      <c r="R36" s="38"/>
      <c r="S36" s="38"/>
      <c r="T36" s="38"/>
      <c r="U36" s="107" t="str">
        <f>IF([3]回答表!X43="●",[3]回答表!B59,IF([3]回答表!AA43="●",[3]回答表!B79,""))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IF([3]回答表!X43="●",[3]回答表!S65,IF([3]回答表!AA43="●",[3]回答表!S85,""))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IF([3]回答表!X43="●",[3]回答表!G65,IF([3]回答表!AA43="●",[3]回答表!G85,""))</f>
        <v/>
      </c>
      <c r="AN38" s="120"/>
      <c r="AO38" s="120"/>
      <c r="AP38" s="120"/>
      <c r="AQ38" s="120"/>
      <c r="AR38" s="120"/>
      <c r="AS38" s="120"/>
      <c r="AT38" s="121"/>
      <c r="AU38" s="119" t="str">
        <f>IF([3]回答表!X43="●",[3]回答表!G66,IF([3]回答表!AA43="●",[3]回答表!G86,""))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IF([3]回答表!X43="●",[3]回答表!V65,IF([3]回答表!AA43="●",[3]回答表!V85,""))</f>
        <v/>
      </c>
      <c r="BG39" s="249"/>
      <c r="BH39" s="249"/>
      <c r="BI39" s="250"/>
      <c r="BJ39" s="83" t="str">
        <f>IF([3]回答表!X43="●",[3]回答表!V66,IF([3]回答表!AA43="●",[3]回答表!V86,""))</f>
        <v/>
      </c>
      <c r="BK39" s="249"/>
      <c r="BL39" s="249"/>
      <c r="BM39" s="250"/>
      <c r="BN39" s="83" t="str">
        <f>IF([3]回答表!X43="●",[3]回答表!V67,IF([3]回答表!AA43="●",[3]回答表!V87,""))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IF([3]回答表!X43="●",[3]回答表!O71,IF([3]回答表!AA43="●",[3]回答表!O91,""))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IF([3]回答表!X43="●",[3]回答表!O72,IF([3]回答表!AA43="●",[3]回答表!O92,""))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IF([3]回答表!AA43="●","●","")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IF([3]回答表!X43="●",[3]回答表!O73,IF([3]回答表!AA43="●",[3]回答表!O93,""))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IF([3]回答表!X43="●",[3]回答表!O74,IF([3]回答表!AA43="●",[3]回答表!O94,""))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IF([3]回答表!X43="●",[3]回答表!AG71,IF([3]回答表!AA43="●",[3]回答表!AG91,""))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IF([3]回答表!X43="●",[3]回答表!AG72,IF([3]回答表!AA43="●",[3]回答表!AG92,""))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IF([3]回答表!AD43="●","●","")</f>
        <v/>
      </c>
      <c r="O51" s="99"/>
      <c r="P51" s="99"/>
      <c r="Q51" s="100"/>
      <c r="R51" s="38"/>
      <c r="S51" s="38"/>
      <c r="T51" s="38"/>
      <c r="U51" s="107" t="str">
        <f>IF([3]回答表!AD43="●",[3]回答表!B99,"")</f>
        <v/>
      </c>
      <c r="V51" s="108"/>
      <c r="W51" s="108"/>
      <c r="X51" s="108"/>
      <c r="Y51" s="108"/>
      <c r="Z51" s="108"/>
      <c r="AA51" s="108"/>
      <c r="AB51" s="108"/>
      <c r="AC51" s="108"/>
      <c r="AD51" s="108"/>
      <c r="AE51" s="108"/>
      <c r="AF51" s="108"/>
      <c r="AG51" s="108"/>
      <c r="AH51" s="108"/>
      <c r="AI51" s="108"/>
      <c r="AJ51" s="109"/>
      <c r="AK51" s="55"/>
      <c r="AL51" s="55"/>
      <c r="AM51" s="107" t="str">
        <f>IF([3]回答表!AD43="●",[3]回答表!B104,"")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IF([3]回答表!X44="●","●","")</f>
        <v/>
      </c>
      <c r="O62" s="99"/>
      <c r="P62" s="99"/>
      <c r="Q62" s="100"/>
      <c r="R62" s="38"/>
      <c r="S62" s="38"/>
      <c r="T62" s="38"/>
      <c r="U62" s="107" t="str">
        <f>IF([3]回答表!X44="●",[3]回答表!B115,IF([3]回答表!AA44="●",[3]回答表!B127,""))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IF([3]回答表!X44="●",[3]回答表!S121,IF([3]回答表!AA44="●",[3]回答表!S133,""))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IF([3]回答表!X44="●",[3]回答表!J121,IF([3]回答表!AA44="●",[3]回答表!J133,""))</f>
        <v/>
      </c>
      <c r="AN65" s="120"/>
      <c r="AO65" s="120"/>
      <c r="AP65" s="120"/>
      <c r="AQ65" s="120"/>
      <c r="AR65" s="120"/>
      <c r="AS65" s="120"/>
      <c r="AT65" s="121"/>
      <c r="AU65" s="119" t="str">
        <f>IF([3]回答表!X44="●",[3]回答表!J122,IF([3]回答表!AA44="●",[3]回答表!J134,""))</f>
        <v/>
      </c>
      <c r="AV65" s="120"/>
      <c r="AW65" s="120"/>
      <c r="AX65" s="120"/>
      <c r="AY65" s="120"/>
      <c r="AZ65" s="120"/>
      <c r="BA65" s="120"/>
      <c r="BB65" s="121"/>
      <c r="BC65" s="39"/>
      <c r="BD65" s="34"/>
      <c r="BE65" s="34"/>
      <c r="BF65" s="83" t="str">
        <f>IF([3]回答表!X44="●",[3]回答表!V121,IF([3]回答表!AA44="●",[3]回答表!V133,""))</f>
        <v/>
      </c>
      <c r="BG65" s="84"/>
      <c r="BH65" s="84"/>
      <c r="BI65" s="84"/>
      <c r="BJ65" s="83" t="str">
        <f>IF([3]回答表!X44="●",[3]回答表!V122,IF([3]回答表!AA44="●",[3]回答表!V134,""))</f>
        <v/>
      </c>
      <c r="BK65" s="84"/>
      <c r="BL65" s="84"/>
      <c r="BM65" s="84"/>
      <c r="BN65" s="83" t="str">
        <f>IF([3]回答表!X44="●",[3]回答表!V123,IF([3]回答表!AA44="●",[3]回答表!V135,""))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IF([3]回答表!AA44="●","●","")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IF([3]回答表!AD44="●","●","")</f>
        <v/>
      </c>
      <c r="O74" s="99"/>
      <c r="P74" s="99"/>
      <c r="Q74" s="100"/>
      <c r="R74" s="38"/>
      <c r="S74" s="38"/>
      <c r="T74" s="38"/>
      <c r="U74" s="107" t="str">
        <f>IF([3]回答表!AD44="●",[3]回答表!B140,"")</f>
        <v/>
      </c>
      <c r="V74" s="108"/>
      <c r="W74" s="108"/>
      <c r="X74" s="108"/>
      <c r="Y74" s="108"/>
      <c r="Z74" s="108"/>
      <c r="AA74" s="108"/>
      <c r="AB74" s="108"/>
      <c r="AC74" s="108"/>
      <c r="AD74" s="108"/>
      <c r="AE74" s="108"/>
      <c r="AF74" s="108"/>
      <c r="AG74" s="108"/>
      <c r="AH74" s="108"/>
      <c r="AI74" s="108"/>
      <c r="AJ74" s="109"/>
      <c r="AK74" s="55"/>
      <c r="AL74" s="55"/>
      <c r="AM74" s="107" t="str">
        <f>IF([3]回答表!AD44="●",[3]回答表!B146,"")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IF([3]回答表!F17="水道事業",IF([3]回答表!X45="●","●",""),"")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IF([3]回答表!F17="水道事業",IF([3]回答表!X45="●",[3]回答表!B158,IF([3]回答表!AA45="●",[3]回答表!B223,"")),"")</f>
        <v/>
      </c>
      <c r="AN86" s="212"/>
      <c r="AO86" s="212"/>
      <c r="AP86" s="212"/>
      <c r="AQ86" s="212"/>
      <c r="AR86" s="212"/>
      <c r="AS86" s="212"/>
      <c r="AT86" s="212"/>
      <c r="AU86" s="212"/>
      <c r="AV86" s="212"/>
      <c r="AW86" s="212"/>
      <c r="AX86" s="212"/>
      <c r="AY86" s="212"/>
      <c r="AZ86" s="212"/>
      <c r="BA86" s="212"/>
      <c r="BB86" s="212"/>
      <c r="BC86" s="213"/>
      <c r="BD86" s="34"/>
      <c r="BE86" s="34"/>
      <c r="BF86" s="116" t="str">
        <f>IF([3]回答表!F17="水道事業",IF([3]回答表!X45="●",[3]回答表!B212,IF([3]回答表!AA45="●",[3]回答表!B278,"")),"")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IF([3]回答表!F17="水道事業",IF([3]回答表!X45="●",[3]回答表!J166,IF([3]回答表!AA45="●",[3]回答表!J231,"")),"")</f>
        <v/>
      </c>
      <c r="V88" s="120"/>
      <c r="W88" s="120"/>
      <c r="X88" s="120"/>
      <c r="Y88" s="120"/>
      <c r="Z88" s="120"/>
      <c r="AA88" s="120"/>
      <c r="AB88" s="121"/>
      <c r="AC88" s="119" t="str">
        <f>IF([3]回答表!F17="水道事業",IF([3]回答表!X45="●",[3]回答表!J173,IF([3]回答表!AA45="●",[3]回答表!J238,"")),"")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IF([3]回答表!F17="水道事業",IF([3]回答表!X45="●",[3]回答表!E212,IF([3]回答表!AA45="●",[3]回答表!E278,"")),"")</f>
        <v/>
      </c>
      <c r="BG89" s="84"/>
      <c r="BH89" s="84"/>
      <c r="BI89" s="84"/>
      <c r="BJ89" s="83" t="str">
        <f>IF([3]回答表!F17="水道事業",IF([3]回答表!X45="●",[3]回答表!E213,IF([3]回答表!AA45="●",[3]回答表!E279,"")),"")</f>
        <v/>
      </c>
      <c r="BK89" s="84"/>
      <c r="BL89" s="84"/>
      <c r="BM89" s="84"/>
      <c r="BN89" s="83" t="str">
        <f>IF([3]回答表!F17="水道事業",IF([3]回答表!X45="●",[3]回答表!E214,IF([3]回答表!AA45="●",[3]回答表!E280,"")),"")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IF([3]回答表!F17="水道事業",IF([3]回答表!AA45="●","●",""),"")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IF([3]回答表!F17="水道事業",IF([3]回答表!X45="●",[3]回答表!J176,IF([3]回答表!AA45="●",[3]回答表!J241,"")),"")</f>
        <v/>
      </c>
      <c r="V93" s="120"/>
      <c r="W93" s="120"/>
      <c r="X93" s="120"/>
      <c r="Y93" s="120"/>
      <c r="Z93" s="120"/>
      <c r="AA93" s="120"/>
      <c r="AB93" s="121"/>
      <c r="AC93" s="119" t="str">
        <f>IF([3]回答表!F17="水道事業",IF([3]回答表!X45="●",[3]回答表!J180,IF([3]回答表!AA45="●",[3]回答表!J245,"")),"")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IF([3]回答表!F17="水道事業",IF([3]回答表!AD45="●","●",""),"")</f>
        <v/>
      </c>
      <c r="O98" s="99"/>
      <c r="P98" s="99"/>
      <c r="Q98" s="100"/>
      <c r="R98" s="38"/>
      <c r="S98" s="38"/>
      <c r="T98" s="38"/>
      <c r="U98" s="107" t="str">
        <f>IF([3]回答表!F17="水道事業",IF([3]回答表!AD45="●",[3]回答表!B289,""),"")</f>
        <v/>
      </c>
      <c r="V98" s="108"/>
      <c r="W98" s="108"/>
      <c r="X98" s="108"/>
      <c r="Y98" s="108"/>
      <c r="Z98" s="108"/>
      <c r="AA98" s="108"/>
      <c r="AB98" s="108"/>
      <c r="AC98" s="108"/>
      <c r="AD98" s="108"/>
      <c r="AE98" s="108"/>
      <c r="AF98" s="108"/>
      <c r="AG98" s="108"/>
      <c r="AH98" s="108"/>
      <c r="AI98" s="108"/>
      <c r="AJ98" s="109"/>
      <c r="AK98" s="55"/>
      <c r="AL98" s="55"/>
      <c r="AM98" s="107" t="str">
        <f>IF([3]回答表!F17="水道事業",IF([3]回答表!AD45="●",[3]回答表!B295,""),"")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IF([3]回答表!F17="簡易水道事業",IF([3]回答表!X45="●",[3]回答表!B158,IF([3]回答表!AA45="●",[3]回答表!B223,"")),"")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IF([3]回答表!F17="簡易水道事業",IF([3]回答表!X45="●",[3]回答表!B212,IF([3]回答表!AA45="●",[3]回答表!B278,"")),"")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IF([3]回答表!F17="簡易水道事業",IF([3]回答表!X45="●","●",""),"")</f>
        <v/>
      </c>
      <c r="O112" s="99"/>
      <c r="P112" s="99"/>
      <c r="Q112" s="100"/>
      <c r="R112" s="38"/>
      <c r="S112" s="38"/>
      <c r="T112" s="38"/>
      <c r="U112" s="119" t="str">
        <f>IF([3]回答表!F17="簡易水道事業",IF([3]回答表!X45="●",[3]回答表!Y185,IF([3]回答表!AA45="●",[3]回答表!Y251,"")),"")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IF([3]回答表!F17="簡易水道事業",IF([3]回答表!X45="●",[3]回答表!E212,IF([3]回答表!AA45="●",[3]回答表!E278,"")),"")</f>
        <v/>
      </c>
      <c r="BG113" s="84"/>
      <c r="BH113" s="84"/>
      <c r="BI113" s="84"/>
      <c r="BJ113" s="83" t="str">
        <f>IF([3]回答表!F17="簡易水道事業",IF([3]回答表!X45="●",[3]回答表!E213,IF([3]回答表!AA45="●",[3]回答表!E279,"")),"")</f>
        <v/>
      </c>
      <c r="BK113" s="84"/>
      <c r="BL113" s="84"/>
      <c r="BM113" s="84"/>
      <c r="BN113" s="83" t="str">
        <f>IF([3]回答表!F17="簡易水道事業",IF([3]回答表!X45="●",[3]回答表!E214,IF([3]回答表!AA45="●",[3]回答表!E280,"")),"")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IF([3]回答表!F17="簡易水道事業",IF([3]回答表!X45="●",[3]回答表!Y186,IF([3]回答表!AA45="●",[3]回答表!Y252,"")),"")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IF([3]回答表!F17="簡易水道事業",IF([3]回答表!AA45="●","●",""),"")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IF([3]回答表!F17="簡易水道事業",IF([3]回答表!X45="●",[3]回答表!Y187,IF([3]回答表!AA45="●",[3]回答表!Y253,"")),"")</f>
        <v/>
      </c>
      <c r="V122" s="120"/>
      <c r="W122" s="120"/>
      <c r="X122" s="120"/>
      <c r="Y122" s="120"/>
      <c r="Z122" s="120"/>
      <c r="AA122" s="120"/>
      <c r="AB122" s="120"/>
      <c r="AC122" s="120"/>
      <c r="AD122" s="120"/>
      <c r="AE122" s="120"/>
      <c r="AF122" s="120"/>
      <c r="AG122" s="120"/>
      <c r="AH122" s="120"/>
      <c r="AI122" s="120"/>
      <c r="AJ122" s="121"/>
      <c r="AK122" s="18"/>
      <c r="AL122" s="18"/>
      <c r="AM122" s="228" t="str">
        <f>IF([3]回答表!F17="簡易水道事業",IF([3]回答表!X45="●",[3]回答表!Y189,IF([3]回答表!AA45="●",[3]回答表!Y255,"")),"")</f>
        <v/>
      </c>
      <c r="AN122" s="228"/>
      <c r="AO122" s="228"/>
      <c r="AP122" s="228"/>
      <c r="AQ122" s="228"/>
      <c r="AR122" s="228"/>
      <c r="AS122" s="228" t="str">
        <f>IF([3]回答表!F17="簡易水道事業",IF([3]回答表!X45="●",[3]回答表!Y190,IF([3]回答表!AA45="●",[3]回答表!Y256,"")),"")</f>
        <v/>
      </c>
      <c r="AT122" s="228"/>
      <c r="AU122" s="228"/>
      <c r="AV122" s="228"/>
      <c r="AW122" s="228"/>
      <c r="AX122" s="228"/>
      <c r="AY122" s="228" t="str">
        <f>IF([3]回答表!F17="簡易水道事業",IF([3]回答表!X45="●",[3]回答表!Y191,IF([3]回答表!AA45="●",[3]回答表!Y257,"")),"")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IF([3]回答表!F17="簡易水道事業",IF([3]回答表!AD45="●","●",""),"")</f>
        <v/>
      </c>
      <c r="O127" s="99"/>
      <c r="P127" s="99"/>
      <c r="Q127" s="100"/>
      <c r="R127" s="38"/>
      <c r="S127" s="38"/>
      <c r="T127" s="38"/>
      <c r="U127" s="107" t="str">
        <f>IF([3]回答表!F17="簡易水道事業",IF([3]回答表!AD45="●",[3]回答表!B289,""),"")</f>
        <v/>
      </c>
      <c r="V127" s="108"/>
      <c r="W127" s="108"/>
      <c r="X127" s="108"/>
      <c r="Y127" s="108"/>
      <c r="Z127" s="108"/>
      <c r="AA127" s="108"/>
      <c r="AB127" s="108"/>
      <c r="AC127" s="108"/>
      <c r="AD127" s="108"/>
      <c r="AE127" s="108"/>
      <c r="AF127" s="108"/>
      <c r="AG127" s="108"/>
      <c r="AH127" s="108"/>
      <c r="AI127" s="108"/>
      <c r="AJ127" s="109"/>
      <c r="AK127" s="55"/>
      <c r="AL127" s="55"/>
      <c r="AM127" s="107" t="str">
        <f>IF([3]回答表!F17="簡易水道事業",IF([3]回答表!AD45="●",[3]回答表!B295,""),"")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IF([3]回答表!F17="下水道事業",IF([3]回答表!X45="●","●",""),"")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IF([3]回答表!F17="下水道事業",IF([3]回答表!X45="●",[3]回答表!B158,IF([3]回答表!AA45="●",[3]回答表!B223,"")),"")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IF([3]回答表!F17="下水道事業",IF([3]回答表!X45="●",[3]回答表!B212,IF([3]回答表!AA45="●",[3]回答表!B278,"")),"")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IF([3]回答表!F17="下水道事業",IF([3]回答表!X45="●",[3]回答表!Y193,IF([3]回答表!AA45="●",[3]回答表!Y259,"")),"")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IF([3]回答表!F17="下水道事業",IF([3]回答表!X45="●",[3]回答表!E212,IF([3]回答表!AA45="●",[3]回答表!E278,"")),"")</f>
        <v/>
      </c>
      <c r="BG142" s="84"/>
      <c r="BH142" s="84"/>
      <c r="BI142" s="84"/>
      <c r="BJ142" s="83" t="str">
        <f>IF([3]回答表!F17="下水道事業",IF([3]回答表!X45="●",[3]回答表!E213,IF([3]回答表!AA45="●",[3]回答表!E279,"")),"")</f>
        <v/>
      </c>
      <c r="BK142" s="84"/>
      <c r="BL142" s="84"/>
      <c r="BM142" s="84"/>
      <c r="BN142" s="83" t="str">
        <f>IF([3]回答表!F17="下水道事業",IF([3]回答表!X45="●",[3]回答表!E214,IF([3]回答表!AA45="●",[3]回答表!E280,"")),"")</f>
        <v/>
      </c>
      <c r="BO142" s="84"/>
      <c r="BP142" s="84"/>
      <c r="BQ142" s="87"/>
      <c r="BR142" s="37"/>
      <c r="BX142" s="211" t="str">
        <f>IF([3]回答表!AQ20="下水道事業",IF([3]回答表!BI48="○",[3]回答表!AM161,IF([3]回答表!BL48="○",[3]回答表!AM226,"")),"")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IF([3]回答表!F17="下水道事業",IF([3]回答表!X45="●",[3]回答表!Y195,IF([3]回答表!AA45="●",[3]回答表!Y261,"")),"")</f>
        <v/>
      </c>
      <c r="V147" s="120"/>
      <c r="W147" s="120"/>
      <c r="X147" s="120"/>
      <c r="Y147" s="120"/>
      <c r="Z147" s="120"/>
      <c r="AA147" s="120"/>
      <c r="AB147" s="121"/>
      <c r="AC147" s="119" t="str">
        <f>IF([3]回答表!F17="下水道事業",IF([3]回答表!X45="●",[3]回答表!Y196,IF([3]回答表!AA45="●",[3]回答表!Y262,"")),"")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IF([3]回答表!F17="下水道事業",IF([3]回答表!X45="●",[3]回答表!Y198,IF([3]回答表!AA45="●",[3]回答表!Y264,"")),"")</f>
        <v/>
      </c>
      <c r="V153" s="120"/>
      <c r="W153" s="120"/>
      <c r="X153" s="120"/>
      <c r="Y153" s="120"/>
      <c r="Z153" s="120"/>
      <c r="AA153" s="120"/>
      <c r="AB153" s="121"/>
      <c r="AC153" s="119" t="str">
        <f>IF([3]回答表!F17="下水道事業",IF([3]回答表!X45="●",[3]回答表!Y199,IF([3]回答表!AA45="●",[3]回答表!Y265,"")),"")</f>
        <v/>
      </c>
      <c r="AD153" s="120"/>
      <c r="AE153" s="120"/>
      <c r="AF153" s="120"/>
      <c r="AG153" s="120"/>
      <c r="AH153" s="120"/>
      <c r="AI153" s="120"/>
      <c r="AJ153" s="121"/>
      <c r="AK153" s="119" t="str">
        <f>IF([3]回答表!F17="下水道事業",IF([3]回答表!X45="●",[3]回答表!Y200,IF([3]回答表!AA45="●",[3]回答表!Y266,"")),"")</f>
        <v/>
      </c>
      <c r="AL153" s="120"/>
      <c r="AM153" s="120"/>
      <c r="AN153" s="120"/>
      <c r="AO153" s="120"/>
      <c r="AP153" s="120"/>
      <c r="AQ153" s="120"/>
      <c r="AR153" s="121"/>
      <c r="AS153" s="119" t="str">
        <f>IF([3]回答表!F17="下水道事業",IF([3]回答表!X45="●",[3]回答表!Y201,IF([3]回答表!AA45="●",[3]回答表!Y267,"")),"")</f>
        <v/>
      </c>
      <c r="AT153" s="120"/>
      <c r="AU153" s="120"/>
      <c r="AV153" s="120"/>
      <c r="AW153" s="120"/>
      <c r="AX153" s="120"/>
      <c r="AY153" s="120"/>
      <c r="AZ153" s="121"/>
      <c r="BA153" s="119" t="str">
        <f>IF([3]回答表!F17="下水道事業",IF([3]回答表!X45="●",[3]回答表!Y202,IF([3]回答表!AA45="●",[3]回答表!Y268,"")),"")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IF([3]回答表!F17="下水道事業",IF([3]回答表!AA45="●","●",""),"")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IF([3]回答表!F17="下水道事業",IF([3]回答表!X45="●",[3]回答表!Y207,IF([3]回答表!AA45="●",[3]回答表!Y273,"")),"")</f>
        <v/>
      </c>
      <c r="V159" s="120"/>
      <c r="W159" s="120"/>
      <c r="X159" s="120"/>
      <c r="Y159" s="120"/>
      <c r="Z159" s="120"/>
      <c r="AA159" s="120"/>
      <c r="AB159" s="121"/>
      <c r="AC159" s="119" t="str">
        <f>IF([3]回答表!F17="下水道事業",IF([3]回答表!X45="●",[3]回答表!Y208,IF([3]回答表!AA45="●",[3]回答表!Y274,"")),"")</f>
        <v/>
      </c>
      <c r="AD159" s="120"/>
      <c r="AE159" s="120"/>
      <c r="AF159" s="120"/>
      <c r="AG159" s="120"/>
      <c r="AH159" s="120"/>
      <c r="AI159" s="120"/>
      <c r="AJ159" s="121"/>
      <c r="AK159" s="119" t="str">
        <f>IF([3]回答表!F17="下水道事業",IF([3]回答表!X45="●",[3]回答表!Y209,IF([3]回答表!AA45="●",[3]回答表!Y275,"")),"")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IF([3]回答表!F17="下水道事業",IF([3]回答表!AD45="●","●",""),"")</f>
        <v/>
      </c>
      <c r="O164" s="99"/>
      <c r="P164" s="99"/>
      <c r="Q164" s="100"/>
      <c r="R164" s="38"/>
      <c r="S164" s="38"/>
      <c r="T164" s="38"/>
      <c r="U164" s="107" t="str">
        <f>IF([3]回答表!F17="下水道事業",IF([3]回答表!AD45="●",[3]回答表!B289,""),"")</f>
        <v/>
      </c>
      <c r="V164" s="108"/>
      <c r="W164" s="108"/>
      <c r="X164" s="108"/>
      <c r="Y164" s="108"/>
      <c r="Z164" s="108"/>
      <c r="AA164" s="108"/>
      <c r="AB164" s="108"/>
      <c r="AC164" s="108"/>
      <c r="AD164" s="108"/>
      <c r="AE164" s="108"/>
      <c r="AF164" s="108"/>
      <c r="AG164" s="108"/>
      <c r="AH164" s="108"/>
      <c r="AI164" s="108"/>
      <c r="AJ164" s="109"/>
      <c r="AK164" s="55"/>
      <c r="AL164" s="55"/>
      <c r="AM164" s="107" t="str">
        <f>IF([3]回答表!F17="下水道事業",IF([3]回答表!AD45="●",[3]回答表!B295,""),"")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IF([3]回答表!BD17="●",IF([3]回答表!X45="●","●",""),"")</f>
        <v/>
      </c>
      <c r="O176" s="99"/>
      <c r="P176" s="99"/>
      <c r="Q176" s="100"/>
      <c r="R176" s="38"/>
      <c r="S176" s="38"/>
      <c r="T176" s="38"/>
      <c r="U176" s="107" t="str">
        <f>IF([3]回答表!BD17="●",IF([3]回答表!X45="●",[3]回答表!B158,IF([3]回答表!AA45="●",[3]回答表!B223,"")),"")</f>
        <v/>
      </c>
      <c r="V176" s="108"/>
      <c r="W176" s="108"/>
      <c r="X176" s="108"/>
      <c r="Y176" s="108"/>
      <c r="Z176" s="108"/>
      <c r="AA176" s="108"/>
      <c r="AB176" s="108"/>
      <c r="AC176" s="108"/>
      <c r="AD176" s="108"/>
      <c r="AE176" s="108"/>
      <c r="AF176" s="108"/>
      <c r="AG176" s="108"/>
      <c r="AH176" s="108"/>
      <c r="AI176" s="108"/>
      <c r="AJ176" s="109"/>
      <c r="AK176" s="49"/>
      <c r="AL176" s="49"/>
      <c r="AM176" s="116" t="str">
        <f>IF([3]回答表!BD17="●",IF([3]回答表!X45="●",[3]回答表!B212,IF([3]回答表!AA45="●",[3]回答表!B278,"")),"")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IF([3]回答表!BD17="●",IF([3]回答表!X45="●",[3]回答表!E212,IF([3]回答表!AA45="●",[3]回答表!E278,"")),"")</f>
        <v/>
      </c>
      <c r="AN179" s="84"/>
      <c r="AO179" s="84"/>
      <c r="AP179" s="84"/>
      <c r="AQ179" s="83" t="str">
        <f>IF([3]回答表!BD17="●",IF([3]回答表!X45="●",[3]回答表!E213,IF([3]回答表!AA45="●",[3]回答表!E279,"")),"")</f>
        <v/>
      </c>
      <c r="AR179" s="84"/>
      <c r="AS179" s="84"/>
      <c r="AT179" s="84"/>
      <c r="AU179" s="83" t="str">
        <f>IF([3]回答表!BD17="●",IF([3]回答表!X45="●",[3]回答表!E214,IF([3]回答表!AA45="●",[3]回答表!E280,"")),"")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IF([3]回答表!BD17="●",IF([3]回答表!AA45="●","●",""),"")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IF([3]回答表!BD17="●",IF([3]回答表!AD45="●","●",""),"")</f>
        <v/>
      </c>
      <c r="O188" s="99"/>
      <c r="P188" s="99"/>
      <c r="Q188" s="100"/>
      <c r="R188" s="38"/>
      <c r="S188" s="38"/>
      <c r="T188" s="38"/>
      <c r="U188" s="107" t="str">
        <f>IF([3]回答表!BD17="●",IF([3]回答表!AD45="●",[3]回答表!B289,""),"")</f>
        <v/>
      </c>
      <c r="V188" s="108"/>
      <c r="W188" s="108"/>
      <c r="X188" s="108"/>
      <c r="Y188" s="108"/>
      <c r="Z188" s="108"/>
      <c r="AA188" s="108"/>
      <c r="AB188" s="108"/>
      <c r="AC188" s="108"/>
      <c r="AD188" s="108"/>
      <c r="AE188" s="108"/>
      <c r="AF188" s="108"/>
      <c r="AG188" s="108"/>
      <c r="AH188" s="108"/>
      <c r="AI188" s="108"/>
      <c r="AJ188" s="109"/>
      <c r="AK188" s="55"/>
      <c r="AL188" s="55"/>
      <c r="AM188" s="107" t="str">
        <f>IF([3]回答表!BD17="●",IF([3]回答表!AD45="●",[3]回答表!B295,""),"")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IF([3]回答表!X46="●","●","")</f>
        <v/>
      </c>
      <c r="O200" s="99"/>
      <c r="P200" s="99"/>
      <c r="Q200" s="100"/>
      <c r="R200" s="38"/>
      <c r="S200" s="38"/>
      <c r="T200" s="38"/>
      <c r="U200" s="107" t="str">
        <f>IF([3]回答表!X46="●",[3]回答表!B307,IF([3]回答表!AA46="●",[3]回答表!B324,""))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IF([3]回答表!X46="●",[3]回答表!U313,IF([3]回答表!AA46="●",[3]回答表!U330,""))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IF([3]回答表!X46="●",[3]回答表!G313,IF([3]回答表!AA46="●",[3]回答表!G330,""))</f>
        <v/>
      </c>
      <c r="AN203" s="120"/>
      <c r="AO203" s="120"/>
      <c r="AP203" s="120"/>
      <c r="AQ203" s="120"/>
      <c r="AR203" s="120"/>
      <c r="AS203" s="120"/>
      <c r="AT203" s="121"/>
      <c r="AU203" s="119" t="str">
        <f>IF([3]回答表!X46="●",[3]回答表!G314,IF([3]回答表!AA46="●",[3]回答表!G331,""))</f>
        <v/>
      </c>
      <c r="AV203" s="120"/>
      <c r="AW203" s="120"/>
      <c r="AX203" s="120"/>
      <c r="AY203" s="120"/>
      <c r="AZ203" s="120"/>
      <c r="BA203" s="120"/>
      <c r="BB203" s="121"/>
      <c r="BC203" s="39"/>
      <c r="BD203" s="34"/>
      <c r="BE203" s="34"/>
      <c r="BF203" s="83" t="str">
        <f>IF([3]回答表!X46="●",[3]回答表!X313,IF([3]回答表!AA46="●",[3]回答表!X330,""))</f>
        <v/>
      </c>
      <c r="BG203" s="84"/>
      <c r="BH203" s="84"/>
      <c r="BI203" s="84"/>
      <c r="BJ203" s="83" t="str">
        <f>IF([3]回答表!X46="●",[3]回答表!X314,IF([3]回答表!AA46="●",[3]回答表!X331,""))</f>
        <v/>
      </c>
      <c r="BK203" s="84"/>
      <c r="BL203" s="84"/>
      <c r="BM203" s="87"/>
      <c r="BN203" s="83" t="str">
        <f>IF([3]回答表!X46="●",[3]回答表!X315,IF([3]回答表!AA46="●",[3]回答表!X332,""))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IF([3]回答表!AA46="●","●","")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IF([3]回答表!AD46="●","●","")</f>
        <v/>
      </c>
      <c r="O212" s="99"/>
      <c r="P212" s="99"/>
      <c r="Q212" s="100"/>
      <c r="R212" s="38"/>
      <c r="S212" s="38"/>
      <c r="T212" s="38"/>
      <c r="U212" s="107" t="str">
        <f>IF([3]回答表!AD46="●",[3]回答表!B337,"")</f>
        <v/>
      </c>
      <c r="V212" s="108"/>
      <c r="W212" s="108"/>
      <c r="X212" s="108"/>
      <c r="Y212" s="108"/>
      <c r="Z212" s="108"/>
      <c r="AA212" s="108"/>
      <c r="AB212" s="108"/>
      <c r="AC212" s="108"/>
      <c r="AD212" s="108"/>
      <c r="AE212" s="108"/>
      <c r="AF212" s="108"/>
      <c r="AG212" s="108"/>
      <c r="AH212" s="108"/>
      <c r="AI212" s="108"/>
      <c r="AJ212" s="109"/>
      <c r="AK212" s="62"/>
      <c r="AL212" s="62"/>
      <c r="AM212" s="107" t="str">
        <f>IF([3]回答表!AD46="●",[3]回答表!B343,"")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IF([3]回答表!X47="●","●","")</f>
        <v/>
      </c>
      <c r="O224" s="99"/>
      <c r="P224" s="99"/>
      <c r="Q224" s="100"/>
      <c r="R224" s="38"/>
      <c r="S224" s="38"/>
      <c r="T224" s="38"/>
      <c r="U224" s="107" t="str">
        <f>IF([3]回答表!X47="●",[3]回答表!B356,IF([3]回答表!AA47="●",[3]回答表!B379,""))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IF([3]回答表!X47="●",[3]回答表!B362,"")</f>
        <v/>
      </c>
      <c r="AO224" s="182"/>
      <c r="AP224" s="182"/>
      <c r="AQ224" s="182"/>
      <c r="AR224" s="182"/>
      <c r="AS224" s="182"/>
      <c r="AT224" s="182"/>
      <c r="AU224" s="182"/>
      <c r="AV224" s="182"/>
      <c r="AW224" s="182"/>
      <c r="AX224" s="182"/>
      <c r="AY224" s="182"/>
      <c r="AZ224" s="182"/>
      <c r="BA224" s="182"/>
      <c r="BB224" s="183"/>
      <c r="BC224" s="39"/>
      <c r="BD224" s="34"/>
      <c r="BE224" s="34"/>
      <c r="BF224" s="116" t="str">
        <f>IF([3]回答表!X47="●",[3]回答表!B368,IF([3]回答表!AA47="●",[3]回答表!B385,""))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IF([3]回答表!X47="●",[3]回答表!E368,IF([3]回答表!AA47="●",[3]回答表!E385,""))</f>
        <v/>
      </c>
      <c r="BG227" s="84"/>
      <c r="BH227" s="84"/>
      <c r="BI227" s="84"/>
      <c r="BJ227" s="83" t="str">
        <f>IF([3]回答表!X47="●",[3]回答表!E369,IF([3]回答表!AA47="●",[3]回答表!E386,""))</f>
        <v/>
      </c>
      <c r="BK227" s="84"/>
      <c r="BL227" s="84"/>
      <c r="BM227" s="87"/>
      <c r="BN227" s="83" t="str">
        <f>IF([3]回答表!X47="●",[3]回答表!E370,IF([3]回答表!AA47="●",[3]回答表!E387,""))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IF([3]回答表!AA47="●","●","")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26.25" customHeight="1" x14ac:dyDescent="0.4">
      <c r="C236" s="32"/>
      <c r="D236" s="89" t="s">
        <v>33</v>
      </c>
      <c r="E236" s="90"/>
      <c r="F236" s="90"/>
      <c r="G236" s="90"/>
      <c r="H236" s="90"/>
      <c r="I236" s="90"/>
      <c r="J236" s="90"/>
      <c r="K236" s="90"/>
      <c r="L236" s="90"/>
      <c r="M236" s="91"/>
      <c r="N236" s="98" t="str">
        <f>IF([3]回答表!AD47="●","●","")</f>
        <v>●</v>
      </c>
      <c r="O236" s="99"/>
      <c r="P236" s="99"/>
      <c r="Q236" s="100"/>
      <c r="R236" s="38"/>
      <c r="S236" s="38"/>
      <c r="T236" s="38"/>
      <c r="U236" s="107" t="str">
        <f>IF([3]回答表!AD47="●",[3]回答表!B392,"")</f>
        <v>特排の施設管理運営業務の他、ユーティリティの調達及び５０万円未満の保守修繕業務を検討中。</v>
      </c>
      <c r="V236" s="108"/>
      <c r="W236" s="108"/>
      <c r="X236" s="108"/>
      <c r="Y236" s="108"/>
      <c r="Z236" s="108"/>
      <c r="AA236" s="108"/>
      <c r="AB236" s="108"/>
      <c r="AC236" s="108"/>
      <c r="AD236" s="108"/>
      <c r="AE236" s="108"/>
      <c r="AF236" s="108"/>
      <c r="AG236" s="108"/>
      <c r="AH236" s="108"/>
      <c r="AI236" s="108"/>
      <c r="AJ236" s="109"/>
      <c r="AK236" s="62"/>
      <c r="AL236" s="62"/>
      <c r="AM236" s="107" t="str">
        <f>IF([3]回答表!AD47="●",[3]回答表!B398,"")</f>
        <v>浄化槽清掃業者の包括的民間委託制度に対する理解が必要不可欠となる。</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26.25"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26.25"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26.25"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IF([3]回答表!X48="●","●","")</f>
        <v/>
      </c>
      <c r="O248" s="99"/>
      <c r="P248" s="99"/>
      <c r="Q248" s="100"/>
      <c r="R248" s="38"/>
      <c r="S248" s="38"/>
      <c r="T248" s="38"/>
      <c r="U248" s="107" t="str">
        <f>IF([3]回答表!X48="●",[3]回答表!B411,IF([3]回答表!AA48="●",[3]回答表!B425,""))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IF([3]回答表!X48="●",[3]回答表!BC418,IF([3]回答表!AA48="●",[3]回答表!BC432,""))</f>
        <v/>
      </c>
      <c r="AR248" s="151"/>
      <c r="AS248" s="151"/>
      <c r="AT248" s="151"/>
      <c r="AU248" s="173" t="s">
        <v>73</v>
      </c>
      <c r="AV248" s="174"/>
      <c r="AW248" s="174"/>
      <c r="AX248" s="175"/>
      <c r="AY248" s="151" t="str">
        <f>IF([3]回答表!X48="●",[3]回答表!BC423,IF([3]回答表!AA48="●",[3]回答表!BC437,""))</f>
        <v/>
      </c>
      <c r="AZ248" s="151"/>
      <c r="BA248" s="151"/>
      <c r="BB248" s="151"/>
      <c r="BC248" s="39"/>
      <c r="BD248" s="34"/>
      <c r="BE248" s="34"/>
      <c r="BF248" s="116" t="str">
        <f>IF([3]回答表!X48="●",[3]回答表!S417,IF([3]回答表!AA48="●",[3]回答表!S431,""))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IF([3]回答表!X48="●",[3]回答表!BC419,IF([3]回答表!AA48="●",[3]回答表!BC433,""))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IF([3]回答表!X48="●",[3]回答表!V417,IF([3]回答表!AA48="●",[3]回答表!V431,""))</f>
        <v/>
      </c>
      <c r="BG251" s="84"/>
      <c r="BH251" s="84"/>
      <c r="BI251" s="84"/>
      <c r="BJ251" s="83" t="str">
        <f>IF([3]回答表!X48="●",[3]回答表!V418,IF([3]回答表!AA48="●",[3]回答表!V432,""))</f>
        <v/>
      </c>
      <c r="BK251" s="84"/>
      <c r="BL251" s="84"/>
      <c r="BM251" s="87"/>
      <c r="BN251" s="83" t="str">
        <f>IF([3]回答表!X48="●",[3]回答表!V419,IF([3]回答表!AA48="●",[3]回答表!V433,""))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IF([3]回答表!X48="●",[3]回答表!BC420,IF([3]回答表!AA48="●",[3]回答表!BC434,""))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IF([3]回答表!X48="●",[3]回答表!BC424,IF([3]回答表!AA48="●",[3]回答表!BC438,""))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IF([3]回答表!AA48="●","●","")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IF([3]回答表!X48="●",[3]回答表!BC421,IF([3]回答表!AA48="●",[3]回答表!BC435,""))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IF([3]回答表!X48="●",[3]回答表!BC422,IF([3]回答表!AA48="●",[3]回答表!BC436,""))</f>
        <v/>
      </c>
      <c r="AR256" s="151"/>
      <c r="AS256" s="151"/>
      <c r="AT256" s="151"/>
      <c r="AU256" s="152" t="s">
        <v>79</v>
      </c>
      <c r="AV256" s="153"/>
      <c r="AW256" s="153"/>
      <c r="AX256" s="154"/>
      <c r="AY256" s="158" t="str">
        <f>IF([3]回答表!X48="●",[3]回答表!BC425,IF([3]回答表!AA48="●",[3]回答表!BC439,""))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IF([3]回答表!AD48="●","●","")</f>
        <v/>
      </c>
      <c r="O260" s="99"/>
      <c r="P260" s="99"/>
      <c r="Q260" s="100"/>
      <c r="R260" s="38"/>
      <c r="S260" s="38"/>
      <c r="T260" s="38"/>
      <c r="U260" s="107" t="str">
        <f>IF([3]回答表!AD48="●",[3]回答表!B439,"")</f>
        <v/>
      </c>
      <c r="V260" s="108"/>
      <c r="W260" s="108"/>
      <c r="X260" s="108"/>
      <c r="Y260" s="108"/>
      <c r="Z260" s="108"/>
      <c r="AA260" s="108"/>
      <c r="AB260" s="108"/>
      <c r="AC260" s="108"/>
      <c r="AD260" s="108"/>
      <c r="AE260" s="108"/>
      <c r="AF260" s="108"/>
      <c r="AG260" s="108"/>
      <c r="AH260" s="108"/>
      <c r="AI260" s="108"/>
      <c r="AJ260" s="109"/>
      <c r="AK260" s="55"/>
      <c r="AL260" s="55"/>
      <c r="AM260" s="107" t="str">
        <f>IF([3]回答表!AD48="●",[3]回答表!B445,"")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IF([3]回答表!X49="●","●","")</f>
        <v/>
      </c>
      <c r="O271" s="99"/>
      <c r="P271" s="99"/>
      <c r="Q271" s="100"/>
      <c r="R271" s="38"/>
      <c r="S271" s="38"/>
      <c r="T271" s="38"/>
      <c r="U271" s="107" t="str">
        <f>IF([3]回答表!X49="●",[3]回答表!B458,IF([3]回答表!AA49="●",[3]回答表!B475,""))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IF([3]回答表!X49="●",[3]回答表!B468,IF([3]回答表!AA49="●",[3]回答表!B485,""))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IF([3]回答表!X49="●",[3]回答表!G464,IF([3]回答表!AA49="●",[3]回答表!G481,""))</f>
        <v/>
      </c>
      <c r="AN273" s="120"/>
      <c r="AO273" s="120"/>
      <c r="AP273" s="120"/>
      <c r="AQ273" s="120"/>
      <c r="AR273" s="120"/>
      <c r="AS273" s="120"/>
      <c r="AT273" s="121"/>
      <c r="AU273" s="119" t="str">
        <f>IF([3]回答表!X49="●",[3]回答表!G465,IF([3]回答表!AA49="●",[3]回答表!G482,""))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IF([3]回答表!X49="●",[3]回答表!E468,IF([3]回答表!AA49="●",[3]回答表!E485,""))</f>
        <v/>
      </c>
      <c r="BG274" s="84"/>
      <c r="BH274" s="84"/>
      <c r="BI274" s="84"/>
      <c r="BJ274" s="83" t="str">
        <f>IF([3]回答表!X49="●",[3]回答表!E469,IF([3]回答表!AA49="●",[3]回答表!E486,""))</f>
        <v/>
      </c>
      <c r="BK274" s="84"/>
      <c r="BL274" s="84"/>
      <c r="BM274" s="87"/>
      <c r="BN274" s="83" t="str">
        <f>IF([3]回答表!X49="●",[3]回答表!E470,IF([3]回答表!AA49="●",[3]回答表!E487,""))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IF([3]回答表!AA49="●","●","")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IF([3]回答表!AD49="●","●","")</f>
        <v/>
      </c>
      <c r="O283" s="99"/>
      <c r="P283" s="99"/>
      <c r="Q283" s="100"/>
      <c r="R283" s="38"/>
      <c r="S283" s="38"/>
      <c r="T283" s="38"/>
      <c r="U283" s="107" t="str">
        <f>IF([3]回答表!AD49="●",[3]回答表!B492,"")</f>
        <v/>
      </c>
      <c r="V283" s="108"/>
      <c r="W283" s="108"/>
      <c r="X283" s="108"/>
      <c r="Y283" s="108"/>
      <c r="Z283" s="108"/>
      <c r="AA283" s="108"/>
      <c r="AB283" s="108"/>
      <c r="AC283" s="108"/>
      <c r="AD283" s="108"/>
      <c r="AE283" s="108"/>
      <c r="AF283" s="108"/>
      <c r="AG283" s="108"/>
      <c r="AH283" s="108"/>
      <c r="AI283" s="108"/>
      <c r="AJ283" s="109"/>
      <c r="AK283" s="49"/>
      <c r="AL283" s="49"/>
      <c r="AM283" s="107" t="str">
        <f>IF([3]回答表!AD49="●",[3]回答表!B498,"")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IF([3]回答表!R50="●",[3]回答表!B511,"")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B4E0B-7C88-4652-A8D9-17D9EE06835C}">
  <sheetPr>
    <pageSetUpPr fitToPage="1"/>
  </sheetPr>
  <dimension ref="A1:CN315"/>
  <sheetViews>
    <sheetView showZeros="0" view="pageBreakPreview" zoomScale="60" zoomScaleNormal="55" workbookViewId="0">
      <selection activeCell="AB16" sqref="AB1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IF(COUNTIF([5]回答表!K15,"*")&gt;0,[5]回答表!K15,"")</f>
        <v>湯沢市</v>
      </c>
      <c r="D11" s="299"/>
      <c r="E11" s="299"/>
      <c r="F11" s="299"/>
      <c r="G11" s="299"/>
      <c r="H11" s="299"/>
      <c r="I11" s="299"/>
      <c r="J11" s="299"/>
      <c r="K11" s="299"/>
      <c r="L11" s="299"/>
      <c r="M11" s="299"/>
      <c r="N11" s="299"/>
      <c r="O11" s="299"/>
      <c r="P11" s="299"/>
      <c r="Q11" s="299"/>
      <c r="R11" s="299"/>
      <c r="S11" s="299"/>
      <c r="T11" s="299"/>
      <c r="U11" s="306" t="str">
        <f>IF(COUNTIF([5]回答表!F17,"*")&gt;0,[5]回答表!F17,"")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IF(COUNTIF([5]回答表!W17,"*")&gt;0,[5]回答表!W17,"")</f>
        <v>指定介護老人福祉施設</v>
      </c>
      <c r="AP11" s="301"/>
      <c r="AQ11" s="301"/>
      <c r="AR11" s="301"/>
      <c r="AS11" s="301"/>
      <c r="AT11" s="301"/>
      <c r="AU11" s="301"/>
      <c r="AV11" s="301"/>
      <c r="AW11" s="301"/>
      <c r="AX11" s="301"/>
      <c r="AY11" s="301"/>
      <c r="AZ11" s="301"/>
      <c r="BA11" s="301"/>
      <c r="BB11" s="301"/>
      <c r="BC11" s="301"/>
      <c r="BD11" s="301"/>
      <c r="BE11" s="301"/>
      <c r="BF11" s="302"/>
      <c r="BG11" s="305" t="str">
        <f>IF(COUNTIF([5]回答表!F19,"*")&gt;0,[5]回答表!F19,"")</f>
        <v>介護サービス特別会計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IF([5]回答表!R43="●","●","")</f>
        <v/>
      </c>
      <c r="E24" s="123"/>
      <c r="F24" s="123"/>
      <c r="G24" s="123"/>
      <c r="H24" s="123"/>
      <c r="I24" s="123"/>
      <c r="J24" s="124"/>
      <c r="K24" s="122" t="str">
        <f>IF([5]回答表!R44="●","●","")</f>
        <v>●</v>
      </c>
      <c r="L24" s="123"/>
      <c r="M24" s="123"/>
      <c r="N24" s="123"/>
      <c r="O24" s="123"/>
      <c r="P24" s="123"/>
      <c r="Q24" s="124"/>
      <c r="R24" s="122" t="str">
        <f>IF([5]回答表!R45="●","●","")</f>
        <v/>
      </c>
      <c r="S24" s="123"/>
      <c r="T24" s="123"/>
      <c r="U24" s="123"/>
      <c r="V24" s="123"/>
      <c r="W24" s="123"/>
      <c r="X24" s="124"/>
      <c r="Y24" s="122" t="str">
        <f>IF([5]回答表!R46="●","●","")</f>
        <v/>
      </c>
      <c r="Z24" s="123"/>
      <c r="AA24" s="123"/>
      <c r="AB24" s="123"/>
      <c r="AC24" s="123"/>
      <c r="AD24" s="123"/>
      <c r="AE24" s="124"/>
      <c r="AF24" s="122" t="str">
        <f>IF([5]回答表!R47="●","●","")</f>
        <v/>
      </c>
      <c r="AG24" s="123"/>
      <c r="AH24" s="123"/>
      <c r="AI24" s="123"/>
      <c r="AJ24" s="123"/>
      <c r="AK24" s="123"/>
      <c r="AL24" s="124"/>
      <c r="AM24" s="122" t="str">
        <f>IF([5]回答表!R48="●","●","")</f>
        <v/>
      </c>
      <c r="AN24" s="123"/>
      <c r="AO24" s="123"/>
      <c r="AP24" s="123"/>
      <c r="AQ24" s="123"/>
      <c r="AR24" s="123"/>
      <c r="AS24" s="124"/>
      <c r="AT24" s="122" t="str">
        <f>IF([5]回答表!R49="●","●","")</f>
        <v/>
      </c>
      <c r="AU24" s="123"/>
      <c r="AV24" s="123"/>
      <c r="AW24" s="123"/>
      <c r="AX24" s="123"/>
      <c r="AY24" s="123"/>
      <c r="AZ24" s="124"/>
      <c r="BA24" s="18"/>
      <c r="BB24" s="119" t="str">
        <f>IF([5]回答表!R50="●","●","")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IF([5]回答表!X43="●","●","")</f>
        <v/>
      </c>
      <c r="O36" s="99"/>
      <c r="P36" s="99"/>
      <c r="Q36" s="100"/>
      <c r="R36" s="38"/>
      <c r="S36" s="38"/>
      <c r="T36" s="38"/>
      <c r="U36" s="107" t="str">
        <f>IF([5]回答表!X43="●",[5]回答表!B59,IF([5]回答表!AA43="●",[5]回答表!B79,""))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IF([5]回答表!X43="●",[5]回答表!S65,IF([5]回答表!AA43="●",[5]回答表!S85,""))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IF([5]回答表!X43="●",[5]回答表!G65,IF([5]回答表!AA43="●",[5]回答表!G85,""))</f>
        <v/>
      </c>
      <c r="AN38" s="120"/>
      <c r="AO38" s="120"/>
      <c r="AP38" s="120"/>
      <c r="AQ38" s="120"/>
      <c r="AR38" s="120"/>
      <c r="AS38" s="120"/>
      <c r="AT38" s="121"/>
      <c r="AU38" s="119" t="str">
        <f>IF([5]回答表!X43="●",[5]回答表!G66,IF([5]回答表!AA43="●",[5]回答表!G86,""))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IF([5]回答表!X43="●",[5]回答表!V65,IF([5]回答表!AA43="●",[5]回答表!V85,""))</f>
        <v/>
      </c>
      <c r="BG39" s="249"/>
      <c r="BH39" s="249"/>
      <c r="BI39" s="250"/>
      <c r="BJ39" s="83" t="str">
        <f>IF([5]回答表!X43="●",[5]回答表!V66,IF([5]回答表!AA43="●",[5]回答表!V86,""))</f>
        <v/>
      </c>
      <c r="BK39" s="249"/>
      <c r="BL39" s="249"/>
      <c r="BM39" s="250"/>
      <c r="BN39" s="83" t="str">
        <f>IF([5]回答表!X43="●",[5]回答表!V67,IF([5]回答表!AA43="●",[5]回答表!V87,""))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IF([5]回答表!X43="●",[5]回答表!O71,IF([5]回答表!AA43="●",[5]回答表!O91,""))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IF([5]回答表!X43="●",[5]回答表!O72,IF([5]回答表!AA43="●",[5]回答表!O92,""))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IF([5]回答表!AA43="●","●","")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IF([5]回答表!X43="●",[5]回答表!O73,IF([5]回答表!AA43="●",[5]回答表!O93,""))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IF([5]回答表!X43="●",[5]回答表!O74,IF([5]回答表!AA43="●",[5]回答表!O94,""))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IF([5]回答表!X43="●",[5]回答表!AG71,IF([5]回答表!AA43="●",[5]回答表!AG91,""))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IF([5]回答表!X43="●",[5]回答表!AG72,IF([5]回答表!AA43="●",[5]回答表!AG92,""))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IF([5]回答表!AD43="●","●","")</f>
        <v/>
      </c>
      <c r="O51" s="99"/>
      <c r="P51" s="99"/>
      <c r="Q51" s="100"/>
      <c r="R51" s="38"/>
      <c r="S51" s="38"/>
      <c r="T51" s="38"/>
      <c r="U51" s="107" t="str">
        <f>IF([5]回答表!AD43="●",[5]回答表!B99,"")</f>
        <v/>
      </c>
      <c r="V51" s="108"/>
      <c r="W51" s="108"/>
      <c r="X51" s="108"/>
      <c r="Y51" s="108"/>
      <c r="Z51" s="108"/>
      <c r="AA51" s="108"/>
      <c r="AB51" s="108"/>
      <c r="AC51" s="108"/>
      <c r="AD51" s="108"/>
      <c r="AE51" s="108"/>
      <c r="AF51" s="108"/>
      <c r="AG51" s="108"/>
      <c r="AH51" s="108"/>
      <c r="AI51" s="108"/>
      <c r="AJ51" s="109"/>
      <c r="AK51" s="55"/>
      <c r="AL51" s="55"/>
      <c r="AM51" s="107" t="str">
        <f>IF([5]回答表!AD43="●",[5]回答表!B104,"")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36" customHeight="1" x14ac:dyDescent="0.4">
      <c r="C62" s="32"/>
      <c r="D62" s="89" t="s">
        <v>18</v>
      </c>
      <c r="E62" s="90"/>
      <c r="F62" s="90"/>
      <c r="G62" s="90"/>
      <c r="H62" s="90"/>
      <c r="I62" s="90"/>
      <c r="J62" s="90"/>
      <c r="K62" s="90"/>
      <c r="L62" s="90"/>
      <c r="M62" s="91"/>
      <c r="N62" s="98" t="str">
        <f>IF([5]回答表!X44="●","●","")</f>
        <v>●</v>
      </c>
      <c r="O62" s="99"/>
      <c r="P62" s="99"/>
      <c r="Q62" s="100"/>
      <c r="R62" s="38"/>
      <c r="S62" s="38"/>
      <c r="T62" s="38"/>
      <c r="U62" s="107" t="str">
        <f>IF([5]回答表!X44="●",[5]回答表!B115,IF([5]回答表!AA44="●",[5]回答表!B127,""))</f>
        <v>　特別養護老人ホーム事業について雄勝福祉会（現：雄勝なごみ会）に譲渡。
　施設譲渡による市有財産の縮減や、複合サービス提供に係る施設管理費や人件費等313,820千円の経費節減が図られ、職員の配置替えにより他の住民サービス業務の充実が可能となった。
　また、利用者はこれまで同様のサービスを同一施設で受けながら、民間事業者の育成にも寄与することとなった。</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IF([5]回答表!X44="●",[5]回答表!S121,IF([5]回答表!AA44="●",[5]回答表!S133,""))</f>
        <v>平成</v>
      </c>
      <c r="BG62" s="117"/>
      <c r="BH62" s="117"/>
      <c r="BI62" s="117"/>
      <c r="BJ62" s="116"/>
      <c r="BK62" s="117"/>
      <c r="BL62" s="117"/>
      <c r="BM62" s="117"/>
      <c r="BN62" s="116"/>
      <c r="BO62" s="117"/>
      <c r="BP62" s="117"/>
      <c r="BQ62" s="118"/>
      <c r="BR62" s="37"/>
      <c r="BS62" s="24"/>
    </row>
    <row r="63" spans="1:71" ht="3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3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3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IF([5]回答表!X44="●",[5]回答表!J121,IF([5]回答表!AA44="●",[5]回答表!J133,""))</f>
        <v>●</v>
      </c>
      <c r="AN65" s="120"/>
      <c r="AO65" s="120"/>
      <c r="AP65" s="120"/>
      <c r="AQ65" s="120"/>
      <c r="AR65" s="120"/>
      <c r="AS65" s="120"/>
      <c r="AT65" s="121"/>
      <c r="AU65" s="119" t="str">
        <f>IF([5]回答表!X44="●",[5]回答表!J122,IF([5]回答表!AA44="●",[5]回答表!J134,""))</f>
        <v xml:space="preserve"> </v>
      </c>
      <c r="AV65" s="120"/>
      <c r="AW65" s="120"/>
      <c r="AX65" s="120"/>
      <c r="AY65" s="120"/>
      <c r="AZ65" s="120"/>
      <c r="BA65" s="120"/>
      <c r="BB65" s="121"/>
      <c r="BC65" s="39"/>
      <c r="BD65" s="34"/>
      <c r="BE65" s="34"/>
      <c r="BF65" s="83">
        <f>IF([5]回答表!X44="●",[5]回答表!V121,IF([5]回答表!AA44="●",[5]回答表!V133,""))</f>
        <v>28</v>
      </c>
      <c r="BG65" s="84"/>
      <c r="BH65" s="84"/>
      <c r="BI65" s="84"/>
      <c r="BJ65" s="83">
        <f>IF([5]回答表!X44="●",[5]回答表!V122,IF([5]回答表!AA44="●",[5]回答表!V134,""))</f>
        <v>4</v>
      </c>
      <c r="BK65" s="84"/>
      <c r="BL65" s="84"/>
      <c r="BM65" s="84"/>
      <c r="BN65" s="83">
        <f>IF([5]回答表!X44="●",[5]回答表!V123,IF([5]回答表!AA44="●",[5]回答表!V135,""))</f>
        <v>1</v>
      </c>
      <c r="BO65" s="84"/>
      <c r="BP65" s="84"/>
      <c r="BQ65" s="87"/>
      <c r="BR65" s="37"/>
      <c r="BS65" s="24"/>
    </row>
    <row r="66" spans="1:71" ht="3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3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36" customHeight="1" x14ac:dyDescent="0.4">
      <c r="C68" s="32"/>
      <c r="D68" s="134" t="s">
        <v>26</v>
      </c>
      <c r="E68" s="135"/>
      <c r="F68" s="135"/>
      <c r="G68" s="135"/>
      <c r="H68" s="135"/>
      <c r="I68" s="135"/>
      <c r="J68" s="135"/>
      <c r="K68" s="135"/>
      <c r="L68" s="135"/>
      <c r="M68" s="136"/>
      <c r="N68" s="98" t="str">
        <f>IF([5]回答表!AA44="●","●","")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3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3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3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IF([5]回答表!AD44="●","●","")</f>
        <v/>
      </c>
      <c r="O74" s="99"/>
      <c r="P74" s="99"/>
      <c r="Q74" s="100"/>
      <c r="R74" s="38"/>
      <c r="S74" s="38"/>
      <c r="T74" s="38"/>
      <c r="U74" s="107" t="str">
        <f>IF([5]回答表!AD44="●",[5]回答表!B140,"")</f>
        <v/>
      </c>
      <c r="V74" s="108"/>
      <c r="W74" s="108"/>
      <c r="X74" s="108"/>
      <c r="Y74" s="108"/>
      <c r="Z74" s="108"/>
      <c r="AA74" s="108"/>
      <c r="AB74" s="108"/>
      <c r="AC74" s="108"/>
      <c r="AD74" s="108"/>
      <c r="AE74" s="108"/>
      <c r="AF74" s="108"/>
      <c r="AG74" s="108"/>
      <c r="AH74" s="108"/>
      <c r="AI74" s="108"/>
      <c r="AJ74" s="109"/>
      <c r="AK74" s="55"/>
      <c r="AL74" s="55"/>
      <c r="AM74" s="107" t="str">
        <f>IF([5]回答表!AD44="●",[5]回答表!B146,"")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IF([5]回答表!F17="水道事業",IF([5]回答表!X45="●","●",""),"")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IF([5]回答表!F17="水道事業",IF([5]回答表!X45="●",[5]回答表!B158,IF([5]回答表!AA45="●",[5]回答表!B223,"")),"")</f>
        <v/>
      </c>
      <c r="AN86" s="212"/>
      <c r="AO86" s="212"/>
      <c r="AP86" s="212"/>
      <c r="AQ86" s="212"/>
      <c r="AR86" s="212"/>
      <c r="AS86" s="212"/>
      <c r="AT86" s="212"/>
      <c r="AU86" s="212"/>
      <c r="AV86" s="212"/>
      <c r="AW86" s="212"/>
      <c r="AX86" s="212"/>
      <c r="AY86" s="212"/>
      <c r="AZ86" s="212"/>
      <c r="BA86" s="212"/>
      <c r="BB86" s="212"/>
      <c r="BC86" s="213"/>
      <c r="BD86" s="34"/>
      <c r="BE86" s="34"/>
      <c r="BF86" s="116" t="str">
        <f>IF([5]回答表!F17="水道事業",IF([5]回答表!X45="●",[5]回答表!B212,IF([5]回答表!AA45="●",[5]回答表!B278,"")),"")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IF([5]回答表!F17="水道事業",IF([5]回答表!X45="●",[5]回答表!J166,IF([5]回答表!AA45="●",[5]回答表!J231,"")),"")</f>
        <v/>
      </c>
      <c r="V88" s="120"/>
      <c r="W88" s="120"/>
      <c r="X88" s="120"/>
      <c r="Y88" s="120"/>
      <c r="Z88" s="120"/>
      <c r="AA88" s="120"/>
      <c r="AB88" s="121"/>
      <c r="AC88" s="119" t="str">
        <f>IF([5]回答表!F17="水道事業",IF([5]回答表!X45="●",[5]回答表!J173,IF([5]回答表!AA45="●",[5]回答表!J238,"")),"")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IF([5]回答表!F17="水道事業",IF([5]回答表!X45="●",[5]回答表!E212,IF([5]回答表!AA45="●",[5]回答表!E278,"")),"")</f>
        <v/>
      </c>
      <c r="BG89" s="84"/>
      <c r="BH89" s="84"/>
      <c r="BI89" s="84"/>
      <c r="BJ89" s="83" t="str">
        <f>IF([5]回答表!F17="水道事業",IF([5]回答表!X45="●",[5]回答表!E213,IF([5]回答表!AA45="●",[5]回答表!E279,"")),"")</f>
        <v/>
      </c>
      <c r="BK89" s="84"/>
      <c r="BL89" s="84"/>
      <c r="BM89" s="84"/>
      <c r="BN89" s="83" t="str">
        <f>IF([5]回答表!F17="水道事業",IF([5]回答表!X45="●",[5]回答表!E214,IF([5]回答表!AA45="●",[5]回答表!E280,"")),"")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IF([5]回答表!F17="水道事業",IF([5]回答表!AA45="●","●",""),"")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IF([5]回答表!F17="水道事業",IF([5]回答表!X45="●",[5]回答表!J176,IF([5]回答表!AA45="●",[5]回答表!J241,"")),"")</f>
        <v/>
      </c>
      <c r="V93" s="120"/>
      <c r="W93" s="120"/>
      <c r="X93" s="120"/>
      <c r="Y93" s="120"/>
      <c r="Z93" s="120"/>
      <c r="AA93" s="120"/>
      <c r="AB93" s="121"/>
      <c r="AC93" s="119" t="str">
        <f>IF([5]回答表!F17="水道事業",IF([5]回答表!X45="●",[5]回答表!J180,IF([5]回答表!AA45="●",[5]回答表!J245,"")),"")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IF([5]回答表!F17="水道事業",IF([5]回答表!AD45="●","●",""),"")</f>
        <v/>
      </c>
      <c r="O98" s="99"/>
      <c r="P98" s="99"/>
      <c r="Q98" s="100"/>
      <c r="R98" s="38"/>
      <c r="S98" s="38"/>
      <c r="T98" s="38"/>
      <c r="U98" s="107" t="str">
        <f>IF([5]回答表!F17="水道事業",IF([5]回答表!AD45="●",[5]回答表!B289,""),"")</f>
        <v/>
      </c>
      <c r="V98" s="108"/>
      <c r="W98" s="108"/>
      <c r="X98" s="108"/>
      <c r="Y98" s="108"/>
      <c r="Z98" s="108"/>
      <c r="AA98" s="108"/>
      <c r="AB98" s="108"/>
      <c r="AC98" s="108"/>
      <c r="AD98" s="108"/>
      <c r="AE98" s="108"/>
      <c r="AF98" s="108"/>
      <c r="AG98" s="108"/>
      <c r="AH98" s="108"/>
      <c r="AI98" s="108"/>
      <c r="AJ98" s="109"/>
      <c r="AK98" s="55"/>
      <c r="AL98" s="55"/>
      <c r="AM98" s="107" t="str">
        <f>IF([5]回答表!F17="水道事業",IF([5]回答表!AD45="●",[5]回答表!B295,""),"")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IF([5]回答表!F17="簡易水道事業",IF([5]回答表!X45="●",[5]回答表!B158,IF([5]回答表!AA45="●",[5]回答表!B223,"")),"")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IF([5]回答表!F17="簡易水道事業",IF([5]回答表!X45="●",[5]回答表!B212,IF([5]回答表!AA45="●",[5]回答表!B278,"")),"")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IF([5]回答表!F17="簡易水道事業",IF([5]回答表!X45="●","●",""),"")</f>
        <v/>
      </c>
      <c r="O112" s="99"/>
      <c r="P112" s="99"/>
      <c r="Q112" s="100"/>
      <c r="R112" s="38"/>
      <c r="S112" s="38"/>
      <c r="T112" s="38"/>
      <c r="U112" s="119" t="str">
        <f>IF([5]回答表!F17="簡易水道事業",IF([5]回答表!X45="●",[5]回答表!Y185,IF([5]回答表!AA45="●",[5]回答表!Y251,"")),"")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IF([5]回答表!F17="簡易水道事業",IF([5]回答表!X45="●",[5]回答表!E212,IF([5]回答表!AA45="●",[5]回答表!E278,"")),"")</f>
        <v/>
      </c>
      <c r="BG113" s="84"/>
      <c r="BH113" s="84"/>
      <c r="BI113" s="84"/>
      <c r="BJ113" s="83" t="str">
        <f>IF([5]回答表!F17="簡易水道事業",IF([5]回答表!X45="●",[5]回答表!E213,IF([5]回答表!AA45="●",[5]回答表!E279,"")),"")</f>
        <v/>
      </c>
      <c r="BK113" s="84"/>
      <c r="BL113" s="84"/>
      <c r="BM113" s="84"/>
      <c r="BN113" s="83" t="str">
        <f>IF([5]回答表!F17="簡易水道事業",IF([5]回答表!X45="●",[5]回答表!E214,IF([5]回答表!AA45="●",[5]回答表!E280,"")),"")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IF([5]回答表!F17="簡易水道事業",IF([5]回答表!X45="●",[5]回答表!Y186,IF([5]回答表!AA45="●",[5]回答表!Y252,"")),"")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IF([5]回答表!F17="簡易水道事業",IF([5]回答表!AA45="●","●",""),"")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IF([5]回答表!F17="簡易水道事業",IF([5]回答表!X45="●",[5]回答表!Y187,IF([5]回答表!AA45="●",[5]回答表!Y253,"")),"")</f>
        <v/>
      </c>
      <c r="V122" s="120"/>
      <c r="W122" s="120"/>
      <c r="X122" s="120"/>
      <c r="Y122" s="120"/>
      <c r="Z122" s="120"/>
      <c r="AA122" s="120"/>
      <c r="AB122" s="120"/>
      <c r="AC122" s="120"/>
      <c r="AD122" s="120"/>
      <c r="AE122" s="120"/>
      <c r="AF122" s="120"/>
      <c r="AG122" s="120"/>
      <c r="AH122" s="120"/>
      <c r="AI122" s="120"/>
      <c r="AJ122" s="121"/>
      <c r="AK122" s="18"/>
      <c r="AL122" s="18"/>
      <c r="AM122" s="228" t="str">
        <f>IF([5]回答表!F17="簡易水道事業",IF([5]回答表!X45="●",[5]回答表!Y189,IF([5]回答表!AA45="●",[5]回答表!Y255,"")),"")</f>
        <v/>
      </c>
      <c r="AN122" s="228"/>
      <c r="AO122" s="228"/>
      <c r="AP122" s="228"/>
      <c r="AQ122" s="228"/>
      <c r="AR122" s="228"/>
      <c r="AS122" s="228" t="str">
        <f>IF([5]回答表!F17="簡易水道事業",IF([5]回答表!X45="●",[5]回答表!Y190,IF([5]回答表!AA45="●",[5]回答表!Y256,"")),"")</f>
        <v/>
      </c>
      <c r="AT122" s="228"/>
      <c r="AU122" s="228"/>
      <c r="AV122" s="228"/>
      <c r="AW122" s="228"/>
      <c r="AX122" s="228"/>
      <c r="AY122" s="228" t="str">
        <f>IF([5]回答表!F17="簡易水道事業",IF([5]回答表!X45="●",[5]回答表!Y191,IF([5]回答表!AA45="●",[5]回答表!Y257,"")),"")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IF([5]回答表!F17="簡易水道事業",IF([5]回答表!AD45="●","●",""),"")</f>
        <v/>
      </c>
      <c r="O127" s="99"/>
      <c r="P127" s="99"/>
      <c r="Q127" s="100"/>
      <c r="R127" s="38"/>
      <c r="S127" s="38"/>
      <c r="T127" s="38"/>
      <c r="U127" s="107" t="str">
        <f>IF([5]回答表!F17="簡易水道事業",IF([5]回答表!AD45="●",[5]回答表!B289,""),"")</f>
        <v/>
      </c>
      <c r="V127" s="108"/>
      <c r="W127" s="108"/>
      <c r="X127" s="108"/>
      <c r="Y127" s="108"/>
      <c r="Z127" s="108"/>
      <c r="AA127" s="108"/>
      <c r="AB127" s="108"/>
      <c r="AC127" s="108"/>
      <c r="AD127" s="108"/>
      <c r="AE127" s="108"/>
      <c r="AF127" s="108"/>
      <c r="AG127" s="108"/>
      <c r="AH127" s="108"/>
      <c r="AI127" s="108"/>
      <c r="AJ127" s="109"/>
      <c r="AK127" s="55"/>
      <c r="AL127" s="55"/>
      <c r="AM127" s="107" t="str">
        <f>IF([5]回答表!F17="簡易水道事業",IF([5]回答表!AD45="●",[5]回答表!B295,""),"")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IF([5]回答表!F17="下水道事業",IF([5]回答表!X45="●","●",""),"")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IF([5]回答表!F17="下水道事業",IF([5]回答表!X45="●",[5]回答表!B158,IF([5]回答表!AA45="●",[5]回答表!B223,"")),"")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IF([5]回答表!F17="下水道事業",IF([5]回答表!X45="●",[5]回答表!B212,IF([5]回答表!AA45="●",[5]回答表!B278,"")),"")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IF([5]回答表!F17="下水道事業",IF([5]回答表!X45="●",[5]回答表!Y193,IF([5]回答表!AA45="●",[5]回答表!Y259,"")),"")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IF([5]回答表!F17="下水道事業",IF([5]回答表!X45="●",[5]回答表!E212,IF([5]回答表!AA45="●",[5]回答表!E278,"")),"")</f>
        <v/>
      </c>
      <c r="BG142" s="84"/>
      <c r="BH142" s="84"/>
      <c r="BI142" s="84"/>
      <c r="BJ142" s="83" t="str">
        <f>IF([5]回答表!F17="下水道事業",IF([5]回答表!X45="●",[5]回答表!E213,IF([5]回答表!AA45="●",[5]回答表!E279,"")),"")</f>
        <v/>
      </c>
      <c r="BK142" s="84"/>
      <c r="BL142" s="84"/>
      <c r="BM142" s="84"/>
      <c r="BN142" s="83" t="str">
        <f>IF([5]回答表!F17="下水道事業",IF([5]回答表!X45="●",[5]回答表!E214,IF([5]回答表!AA45="●",[5]回答表!E280,"")),"")</f>
        <v/>
      </c>
      <c r="BO142" s="84"/>
      <c r="BP142" s="84"/>
      <c r="BQ142" s="87"/>
      <c r="BR142" s="37"/>
      <c r="BX142" s="211" t="str">
        <f>IF([5]回答表!AQ20="下水道事業",IF([5]回答表!BI48="○",[5]回答表!AM161,IF([5]回答表!BL48="○",[5]回答表!AM226,"")),"")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IF([5]回答表!F17="下水道事業",IF([5]回答表!X45="●",[5]回答表!Y195,IF([5]回答表!AA45="●",[5]回答表!Y261,"")),"")</f>
        <v/>
      </c>
      <c r="V147" s="120"/>
      <c r="W147" s="120"/>
      <c r="X147" s="120"/>
      <c r="Y147" s="120"/>
      <c r="Z147" s="120"/>
      <c r="AA147" s="120"/>
      <c r="AB147" s="121"/>
      <c r="AC147" s="119" t="str">
        <f>IF([5]回答表!F17="下水道事業",IF([5]回答表!X45="●",[5]回答表!Y196,IF([5]回答表!AA45="●",[5]回答表!Y262,"")),"")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IF([5]回答表!F17="下水道事業",IF([5]回答表!X45="●",[5]回答表!Y198,IF([5]回答表!AA45="●",[5]回答表!Y264,"")),"")</f>
        <v/>
      </c>
      <c r="V153" s="120"/>
      <c r="W153" s="120"/>
      <c r="X153" s="120"/>
      <c r="Y153" s="120"/>
      <c r="Z153" s="120"/>
      <c r="AA153" s="120"/>
      <c r="AB153" s="121"/>
      <c r="AC153" s="119" t="str">
        <f>IF([5]回答表!F17="下水道事業",IF([5]回答表!X45="●",[5]回答表!Y199,IF([5]回答表!AA45="●",[5]回答表!Y265,"")),"")</f>
        <v/>
      </c>
      <c r="AD153" s="120"/>
      <c r="AE153" s="120"/>
      <c r="AF153" s="120"/>
      <c r="AG153" s="120"/>
      <c r="AH153" s="120"/>
      <c r="AI153" s="120"/>
      <c r="AJ153" s="121"/>
      <c r="AK153" s="119" t="str">
        <f>IF([5]回答表!F17="下水道事業",IF([5]回答表!X45="●",[5]回答表!Y200,IF([5]回答表!AA45="●",[5]回答表!Y266,"")),"")</f>
        <v/>
      </c>
      <c r="AL153" s="120"/>
      <c r="AM153" s="120"/>
      <c r="AN153" s="120"/>
      <c r="AO153" s="120"/>
      <c r="AP153" s="120"/>
      <c r="AQ153" s="120"/>
      <c r="AR153" s="121"/>
      <c r="AS153" s="119" t="str">
        <f>IF([5]回答表!F17="下水道事業",IF([5]回答表!X45="●",[5]回答表!Y201,IF([5]回答表!AA45="●",[5]回答表!Y267,"")),"")</f>
        <v/>
      </c>
      <c r="AT153" s="120"/>
      <c r="AU153" s="120"/>
      <c r="AV153" s="120"/>
      <c r="AW153" s="120"/>
      <c r="AX153" s="120"/>
      <c r="AY153" s="120"/>
      <c r="AZ153" s="121"/>
      <c r="BA153" s="119" t="str">
        <f>IF([5]回答表!F17="下水道事業",IF([5]回答表!X45="●",[5]回答表!Y202,IF([5]回答表!AA45="●",[5]回答表!Y268,"")),"")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IF([5]回答表!F17="下水道事業",IF([5]回答表!AA45="●","●",""),"")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IF([5]回答表!F17="下水道事業",IF([5]回答表!X45="●",[5]回答表!Y207,IF([5]回答表!AA45="●",[5]回答表!Y273,"")),"")</f>
        <v/>
      </c>
      <c r="V159" s="120"/>
      <c r="W159" s="120"/>
      <c r="X159" s="120"/>
      <c r="Y159" s="120"/>
      <c r="Z159" s="120"/>
      <c r="AA159" s="120"/>
      <c r="AB159" s="121"/>
      <c r="AC159" s="119" t="str">
        <f>IF([5]回答表!F17="下水道事業",IF([5]回答表!X45="●",[5]回答表!Y208,IF([5]回答表!AA45="●",[5]回答表!Y274,"")),"")</f>
        <v/>
      </c>
      <c r="AD159" s="120"/>
      <c r="AE159" s="120"/>
      <c r="AF159" s="120"/>
      <c r="AG159" s="120"/>
      <c r="AH159" s="120"/>
      <c r="AI159" s="120"/>
      <c r="AJ159" s="121"/>
      <c r="AK159" s="119" t="str">
        <f>IF([5]回答表!F17="下水道事業",IF([5]回答表!X45="●",[5]回答表!Y209,IF([5]回答表!AA45="●",[5]回答表!Y275,"")),"")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IF([5]回答表!F17="下水道事業",IF([5]回答表!AD45="●","●",""),"")</f>
        <v/>
      </c>
      <c r="O164" s="99"/>
      <c r="P164" s="99"/>
      <c r="Q164" s="100"/>
      <c r="R164" s="38"/>
      <c r="S164" s="38"/>
      <c r="T164" s="38"/>
      <c r="U164" s="107" t="str">
        <f>IF([5]回答表!F17="下水道事業",IF([5]回答表!AD45="●",[5]回答表!B289,""),"")</f>
        <v/>
      </c>
      <c r="V164" s="108"/>
      <c r="W164" s="108"/>
      <c r="X164" s="108"/>
      <c r="Y164" s="108"/>
      <c r="Z164" s="108"/>
      <c r="AA164" s="108"/>
      <c r="AB164" s="108"/>
      <c r="AC164" s="108"/>
      <c r="AD164" s="108"/>
      <c r="AE164" s="108"/>
      <c r="AF164" s="108"/>
      <c r="AG164" s="108"/>
      <c r="AH164" s="108"/>
      <c r="AI164" s="108"/>
      <c r="AJ164" s="109"/>
      <c r="AK164" s="55"/>
      <c r="AL164" s="55"/>
      <c r="AM164" s="107" t="str">
        <f>IF([5]回答表!F17="下水道事業",IF([5]回答表!AD45="●",[5]回答表!B295,""),"")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IF([5]回答表!BD17="●",IF([5]回答表!X45="●","●",""),"")</f>
        <v/>
      </c>
      <c r="O176" s="99"/>
      <c r="P176" s="99"/>
      <c r="Q176" s="100"/>
      <c r="R176" s="38"/>
      <c r="S176" s="38"/>
      <c r="T176" s="38"/>
      <c r="U176" s="107" t="str">
        <f>IF([5]回答表!BD17="●",IF([5]回答表!X45="●",[5]回答表!B158,IF([5]回答表!AA45="●",[5]回答表!B223,"")),"")</f>
        <v/>
      </c>
      <c r="V176" s="108"/>
      <c r="W176" s="108"/>
      <c r="X176" s="108"/>
      <c r="Y176" s="108"/>
      <c r="Z176" s="108"/>
      <c r="AA176" s="108"/>
      <c r="AB176" s="108"/>
      <c r="AC176" s="108"/>
      <c r="AD176" s="108"/>
      <c r="AE176" s="108"/>
      <c r="AF176" s="108"/>
      <c r="AG176" s="108"/>
      <c r="AH176" s="108"/>
      <c r="AI176" s="108"/>
      <c r="AJ176" s="109"/>
      <c r="AK176" s="49"/>
      <c r="AL176" s="49"/>
      <c r="AM176" s="116" t="str">
        <f>IF([5]回答表!BD17="●",IF([5]回答表!X45="●",[5]回答表!B212,IF([5]回答表!AA45="●",[5]回答表!B278,"")),"")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IF([5]回答表!BD17="●",IF([5]回答表!X45="●",[5]回答表!E212,IF([5]回答表!AA45="●",[5]回答表!E278,"")),"")</f>
        <v/>
      </c>
      <c r="AN179" s="84"/>
      <c r="AO179" s="84"/>
      <c r="AP179" s="84"/>
      <c r="AQ179" s="83" t="str">
        <f>IF([5]回答表!BD17="●",IF([5]回答表!X45="●",[5]回答表!E213,IF([5]回答表!AA45="●",[5]回答表!E279,"")),"")</f>
        <v/>
      </c>
      <c r="AR179" s="84"/>
      <c r="AS179" s="84"/>
      <c r="AT179" s="84"/>
      <c r="AU179" s="83" t="str">
        <f>IF([5]回答表!BD17="●",IF([5]回答表!X45="●",[5]回答表!E214,IF([5]回答表!AA45="●",[5]回答表!E280,"")),"")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IF([5]回答表!BD17="●",IF([5]回答表!AA45="●","●",""),"")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IF([5]回答表!BD17="●",IF([5]回答表!AD45="●","●",""),"")</f>
        <v/>
      </c>
      <c r="O188" s="99"/>
      <c r="P188" s="99"/>
      <c r="Q188" s="100"/>
      <c r="R188" s="38"/>
      <c r="S188" s="38"/>
      <c r="T188" s="38"/>
      <c r="U188" s="107" t="str">
        <f>IF([5]回答表!BD17="●",IF([5]回答表!AD45="●",[5]回答表!B289,""),"")</f>
        <v/>
      </c>
      <c r="V188" s="108"/>
      <c r="W188" s="108"/>
      <c r="X188" s="108"/>
      <c r="Y188" s="108"/>
      <c r="Z188" s="108"/>
      <c r="AA188" s="108"/>
      <c r="AB188" s="108"/>
      <c r="AC188" s="108"/>
      <c r="AD188" s="108"/>
      <c r="AE188" s="108"/>
      <c r="AF188" s="108"/>
      <c r="AG188" s="108"/>
      <c r="AH188" s="108"/>
      <c r="AI188" s="108"/>
      <c r="AJ188" s="109"/>
      <c r="AK188" s="55"/>
      <c r="AL188" s="55"/>
      <c r="AM188" s="107" t="str">
        <f>IF([5]回答表!BD17="●",IF([5]回答表!AD45="●",[5]回答表!B295,""),"")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IF([5]回答表!X46="●","●","")</f>
        <v/>
      </c>
      <c r="O200" s="99"/>
      <c r="P200" s="99"/>
      <c r="Q200" s="100"/>
      <c r="R200" s="38"/>
      <c r="S200" s="38"/>
      <c r="T200" s="38"/>
      <c r="U200" s="107" t="str">
        <f>IF([5]回答表!X46="●",[5]回答表!B307,IF([5]回答表!AA46="●",[5]回答表!B324,""))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IF([5]回答表!X46="●",[5]回答表!U313,IF([5]回答表!AA46="●",[5]回答表!U330,""))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IF([5]回答表!X46="●",[5]回答表!G313,IF([5]回答表!AA46="●",[5]回答表!G330,""))</f>
        <v/>
      </c>
      <c r="AN203" s="120"/>
      <c r="AO203" s="120"/>
      <c r="AP203" s="120"/>
      <c r="AQ203" s="120"/>
      <c r="AR203" s="120"/>
      <c r="AS203" s="120"/>
      <c r="AT203" s="121"/>
      <c r="AU203" s="119" t="str">
        <f>IF([5]回答表!X46="●",[5]回答表!G314,IF([5]回答表!AA46="●",[5]回答表!G331,""))</f>
        <v/>
      </c>
      <c r="AV203" s="120"/>
      <c r="AW203" s="120"/>
      <c r="AX203" s="120"/>
      <c r="AY203" s="120"/>
      <c r="AZ203" s="120"/>
      <c r="BA203" s="120"/>
      <c r="BB203" s="121"/>
      <c r="BC203" s="39"/>
      <c r="BD203" s="34"/>
      <c r="BE203" s="34"/>
      <c r="BF203" s="83" t="str">
        <f>IF([5]回答表!X46="●",[5]回答表!X313,IF([5]回答表!AA46="●",[5]回答表!X330,""))</f>
        <v/>
      </c>
      <c r="BG203" s="84"/>
      <c r="BH203" s="84"/>
      <c r="BI203" s="84"/>
      <c r="BJ203" s="83" t="str">
        <f>IF([5]回答表!X46="●",[5]回答表!X314,IF([5]回答表!AA46="●",[5]回答表!X331,""))</f>
        <v/>
      </c>
      <c r="BK203" s="84"/>
      <c r="BL203" s="84"/>
      <c r="BM203" s="87"/>
      <c r="BN203" s="83" t="str">
        <f>IF([5]回答表!X46="●",[5]回答表!X315,IF([5]回答表!AA46="●",[5]回答表!X332,""))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IF([5]回答表!AA46="●","●","")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IF([5]回答表!AD46="●","●","")</f>
        <v/>
      </c>
      <c r="O212" s="99"/>
      <c r="P212" s="99"/>
      <c r="Q212" s="100"/>
      <c r="R212" s="38"/>
      <c r="S212" s="38"/>
      <c r="T212" s="38"/>
      <c r="U212" s="107" t="str">
        <f>IF([5]回答表!AD46="●",[5]回答表!B337,"")</f>
        <v/>
      </c>
      <c r="V212" s="108"/>
      <c r="W212" s="108"/>
      <c r="X212" s="108"/>
      <c r="Y212" s="108"/>
      <c r="Z212" s="108"/>
      <c r="AA212" s="108"/>
      <c r="AB212" s="108"/>
      <c r="AC212" s="108"/>
      <c r="AD212" s="108"/>
      <c r="AE212" s="108"/>
      <c r="AF212" s="108"/>
      <c r="AG212" s="108"/>
      <c r="AH212" s="108"/>
      <c r="AI212" s="108"/>
      <c r="AJ212" s="109"/>
      <c r="AK212" s="62"/>
      <c r="AL212" s="62"/>
      <c r="AM212" s="107" t="str">
        <f>IF([5]回答表!AD46="●",[5]回答表!B343,"")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IF([5]回答表!X47="●","●","")</f>
        <v/>
      </c>
      <c r="O224" s="99"/>
      <c r="P224" s="99"/>
      <c r="Q224" s="100"/>
      <c r="R224" s="38"/>
      <c r="S224" s="38"/>
      <c r="T224" s="38"/>
      <c r="U224" s="107" t="str">
        <f>IF([5]回答表!X47="●",[5]回答表!B356,IF([5]回答表!AA47="●",[5]回答表!B379,""))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IF([5]回答表!X47="●",[5]回答表!B362,"")</f>
        <v/>
      </c>
      <c r="AO224" s="182"/>
      <c r="AP224" s="182"/>
      <c r="AQ224" s="182"/>
      <c r="AR224" s="182"/>
      <c r="AS224" s="182"/>
      <c r="AT224" s="182"/>
      <c r="AU224" s="182"/>
      <c r="AV224" s="182"/>
      <c r="AW224" s="182"/>
      <c r="AX224" s="182"/>
      <c r="AY224" s="182"/>
      <c r="AZ224" s="182"/>
      <c r="BA224" s="182"/>
      <c r="BB224" s="183"/>
      <c r="BC224" s="39"/>
      <c r="BD224" s="34"/>
      <c r="BE224" s="34"/>
      <c r="BF224" s="116" t="str">
        <f>IF([5]回答表!X47="●",[5]回答表!B368,IF([5]回答表!AA47="●",[5]回答表!B385,""))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IF([5]回答表!X47="●",[5]回答表!E368,IF([5]回答表!AA47="●",[5]回答表!E385,""))</f>
        <v/>
      </c>
      <c r="BG227" s="84"/>
      <c r="BH227" s="84"/>
      <c r="BI227" s="84"/>
      <c r="BJ227" s="83" t="str">
        <f>IF([5]回答表!X47="●",[5]回答表!E369,IF([5]回答表!AA47="●",[5]回答表!E386,""))</f>
        <v/>
      </c>
      <c r="BK227" s="84"/>
      <c r="BL227" s="84"/>
      <c r="BM227" s="87"/>
      <c r="BN227" s="83" t="str">
        <f>IF([5]回答表!X47="●",[5]回答表!E370,IF([5]回答表!AA47="●",[5]回答表!E387,""))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IF([5]回答表!AA47="●","●","")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IF([5]回答表!AD47="●","●","")</f>
        <v/>
      </c>
      <c r="O236" s="99"/>
      <c r="P236" s="99"/>
      <c r="Q236" s="100"/>
      <c r="R236" s="38"/>
      <c r="S236" s="38"/>
      <c r="T236" s="38"/>
      <c r="U236" s="107" t="str">
        <f>IF([5]回答表!AD47="●",[5]回答表!B392,"")</f>
        <v/>
      </c>
      <c r="V236" s="108"/>
      <c r="W236" s="108"/>
      <c r="X236" s="108"/>
      <c r="Y236" s="108"/>
      <c r="Z236" s="108"/>
      <c r="AA236" s="108"/>
      <c r="AB236" s="108"/>
      <c r="AC236" s="108"/>
      <c r="AD236" s="108"/>
      <c r="AE236" s="108"/>
      <c r="AF236" s="108"/>
      <c r="AG236" s="108"/>
      <c r="AH236" s="108"/>
      <c r="AI236" s="108"/>
      <c r="AJ236" s="109"/>
      <c r="AK236" s="62"/>
      <c r="AL236" s="62"/>
      <c r="AM236" s="107" t="str">
        <f>IF([5]回答表!AD47="●",[5]回答表!B398,"")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IF([5]回答表!X48="●","●","")</f>
        <v/>
      </c>
      <c r="O248" s="99"/>
      <c r="P248" s="99"/>
      <c r="Q248" s="100"/>
      <c r="R248" s="38"/>
      <c r="S248" s="38"/>
      <c r="T248" s="38"/>
      <c r="U248" s="107" t="str">
        <f>IF([5]回答表!X48="●",[5]回答表!B411,IF([5]回答表!AA48="●",[5]回答表!B425,""))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IF([5]回答表!X48="●",[5]回答表!BC418,IF([5]回答表!AA48="●",[5]回答表!BC432,""))</f>
        <v/>
      </c>
      <c r="AR248" s="151"/>
      <c r="AS248" s="151"/>
      <c r="AT248" s="151"/>
      <c r="AU248" s="173" t="s">
        <v>73</v>
      </c>
      <c r="AV248" s="174"/>
      <c r="AW248" s="174"/>
      <c r="AX248" s="175"/>
      <c r="AY248" s="151" t="str">
        <f>IF([5]回答表!X48="●",[5]回答表!BC423,IF([5]回答表!AA48="●",[5]回答表!BC437,""))</f>
        <v/>
      </c>
      <c r="AZ248" s="151"/>
      <c r="BA248" s="151"/>
      <c r="BB248" s="151"/>
      <c r="BC248" s="39"/>
      <c r="BD248" s="34"/>
      <c r="BE248" s="34"/>
      <c r="BF248" s="116" t="str">
        <f>IF([5]回答表!X48="●",[5]回答表!S417,IF([5]回答表!AA48="●",[5]回答表!S431,""))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IF([5]回答表!X48="●",[5]回答表!BC419,IF([5]回答表!AA48="●",[5]回答表!BC433,""))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IF([5]回答表!X48="●",[5]回答表!V417,IF([5]回答表!AA48="●",[5]回答表!V431,""))</f>
        <v/>
      </c>
      <c r="BG251" s="84"/>
      <c r="BH251" s="84"/>
      <c r="BI251" s="84"/>
      <c r="BJ251" s="83" t="str">
        <f>IF([5]回答表!X48="●",[5]回答表!V418,IF([5]回答表!AA48="●",[5]回答表!V432,""))</f>
        <v/>
      </c>
      <c r="BK251" s="84"/>
      <c r="BL251" s="84"/>
      <c r="BM251" s="87"/>
      <c r="BN251" s="83" t="str">
        <f>IF([5]回答表!X48="●",[5]回答表!V419,IF([5]回答表!AA48="●",[5]回答表!V433,""))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IF([5]回答表!X48="●",[5]回答表!BC420,IF([5]回答表!AA48="●",[5]回答表!BC434,""))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IF([5]回答表!X48="●",[5]回答表!BC424,IF([5]回答表!AA48="●",[5]回答表!BC438,""))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IF([5]回答表!AA48="●","●","")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IF([5]回答表!X48="●",[5]回答表!BC421,IF([5]回答表!AA48="●",[5]回答表!BC435,""))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IF([5]回答表!X48="●",[5]回答表!BC422,IF([5]回答表!AA48="●",[5]回答表!BC436,""))</f>
        <v/>
      </c>
      <c r="AR256" s="151"/>
      <c r="AS256" s="151"/>
      <c r="AT256" s="151"/>
      <c r="AU256" s="152" t="s">
        <v>79</v>
      </c>
      <c r="AV256" s="153"/>
      <c r="AW256" s="153"/>
      <c r="AX256" s="154"/>
      <c r="AY256" s="158" t="str">
        <f>IF([5]回答表!X48="●",[5]回答表!BC425,IF([5]回答表!AA48="●",[5]回答表!BC439,""))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IF([5]回答表!AD48="●","●","")</f>
        <v/>
      </c>
      <c r="O260" s="99"/>
      <c r="P260" s="99"/>
      <c r="Q260" s="100"/>
      <c r="R260" s="38"/>
      <c r="S260" s="38"/>
      <c r="T260" s="38"/>
      <c r="U260" s="107" t="str">
        <f>IF([5]回答表!AD48="●",[5]回答表!B439,"")</f>
        <v/>
      </c>
      <c r="V260" s="108"/>
      <c r="W260" s="108"/>
      <c r="X260" s="108"/>
      <c r="Y260" s="108"/>
      <c r="Z260" s="108"/>
      <c r="AA260" s="108"/>
      <c r="AB260" s="108"/>
      <c r="AC260" s="108"/>
      <c r="AD260" s="108"/>
      <c r="AE260" s="108"/>
      <c r="AF260" s="108"/>
      <c r="AG260" s="108"/>
      <c r="AH260" s="108"/>
      <c r="AI260" s="108"/>
      <c r="AJ260" s="109"/>
      <c r="AK260" s="55"/>
      <c r="AL260" s="55"/>
      <c r="AM260" s="107" t="str">
        <f>IF([5]回答表!AD48="●",[5]回答表!B445,"")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IF([5]回答表!X49="●","●","")</f>
        <v/>
      </c>
      <c r="O271" s="99"/>
      <c r="P271" s="99"/>
      <c r="Q271" s="100"/>
      <c r="R271" s="38"/>
      <c r="S271" s="38"/>
      <c r="T271" s="38"/>
      <c r="U271" s="107" t="str">
        <f>IF([5]回答表!X49="●",[5]回答表!B458,IF([5]回答表!AA49="●",[5]回答表!B475,""))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IF([5]回答表!X49="●",[5]回答表!B468,IF([5]回答表!AA49="●",[5]回答表!B485,""))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IF([5]回答表!X49="●",[5]回答表!G464,IF([5]回答表!AA49="●",[5]回答表!G481,""))</f>
        <v/>
      </c>
      <c r="AN273" s="120"/>
      <c r="AO273" s="120"/>
      <c r="AP273" s="120"/>
      <c r="AQ273" s="120"/>
      <c r="AR273" s="120"/>
      <c r="AS273" s="120"/>
      <c r="AT273" s="121"/>
      <c r="AU273" s="119" t="str">
        <f>IF([5]回答表!X49="●",[5]回答表!G465,IF([5]回答表!AA49="●",[5]回答表!G482,""))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IF([5]回答表!X49="●",[5]回答表!E468,IF([5]回答表!AA49="●",[5]回答表!E485,""))</f>
        <v/>
      </c>
      <c r="BG274" s="84"/>
      <c r="BH274" s="84"/>
      <c r="BI274" s="84"/>
      <c r="BJ274" s="83" t="str">
        <f>IF([5]回答表!X49="●",[5]回答表!E469,IF([5]回答表!AA49="●",[5]回答表!E486,""))</f>
        <v/>
      </c>
      <c r="BK274" s="84"/>
      <c r="BL274" s="84"/>
      <c r="BM274" s="87"/>
      <c r="BN274" s="83" t="str">
        <f>IF([5]回答表!X49="●",[5]回答表!E470,IF([5]回答表!AA49="●",[5]回答表!E487,""))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IF([5]回答表!AA49="●","●","")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IF([5]回答表!AD49="●","●","")</f>
        <v/>
      </c>
      <c r="O283" s="99"/>
      <c r="P283" s="99"/>
      <c r="Q283" s="100"/>
      <c r="R283" s="38"/>
      <c r="S283" s="38"/>
      <c r="T283" s="38"/>
      <c r="U283" s="107" t="str">
        <f>IF([5]回答表!AD49="●",[5]回答表!B492,"")</f>
        <v/>
      </c>
      <c r="V283" s="108"/>
      <c r="W283" s="108"/>
      <c r="X283" s="108"/>
      <c r="Y283" s="108"/>
      <c r="Z283" s="108"/>
      <c r="AA283" s="108"/>
      <c r="AB283" s="108"/>
      <c r="AC283" s="108"/>
      <c r="AD283" s="108"/>
      <c r="AE283" s="108"/>
      <c r="AF283" s="108"/>
      <c r="AG283" s="108"/>
      <c r="AH283" s="108"/>
      <c r="AI283" s="108"/>
      <c r="AJ283" s="109"/>
      <c r="AK283" s="49"/>
      <c r="AL283" s="49"/>
      <c r="AM283" s="107" t="str">
        <f>IF([5]回答表!AD49="●",[5]回答表!B498,"")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IF([5]回答表!R50="●",[5]回答表!B511,"")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8267-C0F4-4BE9-A23A-D2452356F912}">
  <sheetPr>
    <pageSetUpPr fitToPage="1"/>
  </sheetPr>
  <dimension ref="A1:CN315"/>
  <sheetViews>
    <sheetView showZeros="0" view="pageBreakPreview" zoomScale="60" zoomScaleNormal="55" workbookViewId="0">
      <selection activeCell="U11" sqref="U11:AN1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IF(COUNTIF([7]回答表!K15,"*")&gt;0,[7]回答表!K15,"")</f>
        <v>湯沢市</v>
      </c>
      <c r="D11" s="299"/>
      <c r="E11" s="299"/>
      <c r="F11" s="299"/>
      <c r="G11" s="299"/>
      <c r="H11" s="299"/>
      <c r="I11" s="299"/>
      <c r="J11" s="299"/>
      <c r="K11" s="299"/>
      <c r="L11" s="299"/>
      <c r="M11" s="299"/>
      <c r="N11" s="299"/>
      <c r="O11" s="299"/>
      <c r="P11" s="299"/>
      <c r="Q11" s="299"/>
      <c r="R11" s="299"/>
      <c r="S11" s="299"/>
      <c r="T11" s="299"/>
      <c r="U11" s="306" t="str">
        <f>IF(COUNTIF([7]回答表!F17,"*")&gt;0,[7]回答表!F17,"")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IF(COUNTIF([7]回答表!W17,"*")&gt;0,[7]回答表!W17,"")</f>
        <v>老人短期入所施設</v>
      </c>
      <c r="AP11" s="301"/>
      <c r="AQ11" s="301"/>
      <c r="AR11" s="301"/>
      <c r="AS11" s="301"/>
      <c r="AT11" s="301"/>
      <c r="AU11" s="301"/>
      <c r="AV11" s="301"/>
      <c r="AW11" s="301"/>
      <c r="AX11" s="301"/>
      <c r="AY11" s="301"/>
      <c r="AZ11" s="301"/>
      <c r="BA11" s="301"/>
      <c r="BB11" s="301"/>
      <c r="BC11" s="301"/>
      <c r="BD11" s="301"/>
      <c r="BE11" s="301"/>
      <c r="BF11" s="302"/>
      <c r="BG11" s="305" t="str">
        <f>IF(COUNTIF([7]回答表!F19,"*")&gt;0,[7]回答表!F19,"")</f>
        <v>介護サービス特別会計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IF([7]回答表!R43="●","●","")</f>
        <v/>
      </c>
      <c r="E24" s="123"/>
      <c r="F24" s="123"/>
      <c r="G24" s="123"/>
      <c r="H24" s="123"/>
      <c r="I24" s="123"/>
      <c r="J24" s="124"/>
      <c r="K24" s="122" t="str">
        <f>IF([7]回答表!R44="●","●","")</f>
        <v>●</v>
      </c>
      <c r="L24" s="123"/>
      <c r="M24" s="123"/>
      <c r="N24" s="123"/>
      <c r="O24" s="123"/>
      <c r="P24" s="123"/>
      <c r="Q24" s="124"/>
      <c r="R24" s="122" t="str">
        <f>IF([7]回答表!R45="●","●","")</f>
        <v/>
      </c>
      <c r="S24" s="123"/>
      <c r="T24" s="123"/>
      <c r="U24" s="123"/>
      <c r="V24" s="123"/>
      <c r="W24" s="123"/>
      <c r="X24" s="124"/>
      <c r="Y24" s="122" t="str">
        <f>IF([7]回答表!R46="●","●","")</f>
        <v/>
      </c>
      <c r="Z24" s="123"/>
      <c r="AA24" s="123"/>
      <c r="AB24" s="123"/>
      <c r="AC24" s="123"/>
      <c r="AD24" s="123"/>
      <c r="AE24" s="124"/>
      <c r="AF24" s="122" t="str">
        <f>IF([7]回答表!R47="●","●","")</f>
        <v/>
      </c>
      <c r="AG24" s="123"/>
      <c r="AH24" s="123"/>
      <c r="AI24" s="123"/>
      <c r="AJ24" s="123"/>
      <c r="AK24" s="123"/>
      <c r="AL24" s="124"/>
      <c r="AM24" s="122" t="str">
        <f>IF([7]回答表!R48="●","●","")</f>
        <v/>
      </c>
      <c r="AN24" s="123"/>
      <c r="AO24" s="123"/>
      <c r="AP24" s="123"/>
      <c r="AQ24" s="123"/>
      <c r="AR24" s="123"/>
      <c r="AS24" s="124"/>
      <c r="AT24" s="122" t="str">
        <f>IF([7]回答表!R49="●","●","")</f>
        <v/>
      </c>
      <c r="AU24" s="123"/>
      <c r="AV24" s="123"/>
      <c r="AW24" s="123"/>
      <c r="AX24" s="123"/>
      <c r="AY24" s="123"/>
      <c r="AZ24" s="124"/>
      <c r="BA24" s="18"/>
      <c r="BB24" s="119" t="str">
        <f>IF([7]回答表!R50="●","●","")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IF([7]回答表!X43="●","●","")</f>
        <v/>
      </c>
      <c r="O36" s="99"/>
      <c r="P36" s="99"/>
      <c r="Q36" s="100"/>
      <c r="R36" s="38"/>
      <c r="S36" s="38"/>
      <c r="T36" s="38"/>
      <c r="U36" s="107" t="str">
        <f>IF([7]回答表!X43="●",[7]回答表!B59,IF([7]回答表!AA43="●",[7]回答表!B79,""))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IF([7]回答表!X43="●",[7]回答表!S65,IF([7]回答表!AA43="●",[7]回答表!S85,""))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IF([7]回答表!X43="●",[7]回答表!G65,IF([7]回答表!AA43="●",[7]回答表!G85,""))</f>
        <v/>
      </c>
      <c r="AN38" s="120"/>
      <c r="AO38" s="120"/>
      <c r="AP38" s="120"/>
      <c r="AQ38" s="120"/>
      <c r="AR38" s="120"/>
      <c r="AS38" s="120"/>
      <c r="AT38" s="121"/>
      <c r="AU38" s="119" t="str">
        <f>IF([7]回答表!X43="●",[7]回答表!G66,IF([7]回答表!AA43="●",[7]回答表!G86,""))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IF([7]回答表!X43="●",[7]回答表!V65,IF([7]回答表!AA43="●",[7]回答表!V85,""))</f>
        <v/>
      </c>
      <c r="BG39" s="249"/>
      <c r="BH39" s="249"/>
      <c r="BI39" s="250"/>
      <c r="BJ39" s="83" t="str">
        <f>IF([7]回答表!X43="●",[7]回答表!V66,IF([7]回答表!AA43="●",[7]回答表!V86,""))</f>
        <v/>
      </c>
      <c r="BK39" s="249"/>
      <c r="BL39" s="249"/>
      <c r="BM39" s="250"/>
      <c r="BN39" s="83" t="str">
        <f>IF([7]回答表!X43="●",[7]回答表!V67,IF([7]回答表!AA43="●",[7]回答表!V87,""))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IF([7]回答表!X43="●",[7]回答表!O71,IF([7]回答表!AA43="●",[7]回答表!O91,""))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IF([7]回答表!X43="●",[7]回答表!O72,IF([7]回答表!AA43="●",[7]回答表!O92,""))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IF([7]回答表!AA43="●","●","")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IF([7]回答表!X43="●",[7]回答表!O73,IF([7]回答表!AA43="●",[7]回答表!O93,""))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IF([7]回答表!X43="●",[7]回答表!O74,IF([7]回答表!AA43="●",[7]回答表!O94,""))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IF([7]回答表!X43="●",[7]回答表!AG71,IF([7]回答表!AA43="●",[7]回答表!AG91,""))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IF([7]回答表!X43="●",[7]回答表!AG72,IF([7]回答表!AA43="●",[7]回答表!AG92,""))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IF([7]回答表!AD43="●","●","")</f>
        <v/>
      </c>
      <c r="O51" s="99"/>
      <c r="P51" s="99"/>
      <c r="Q51" s="100"/>
      <c r="R51" s="38"/>
      <c r="S51" s="38"/>
      <c r="T51" s="38"/>
      <c r="U51" s="107" t="str">
        <f>IF([7]回答表!AD43="●",[7]回答表!B99,"")</f>
        <v/>
      </c>
      <c r="V51" s="108"/>
      <c r="W51" s="108"/>
      <c r="X51" s="108"/>
      <c r="Y51" s="108"/>
      <c r="Z51" s="108"/>
      <c r="AA51" s="108"/>
      <c r="AB51" s="108"/>
      <c r="AC51" s="108"/>
      <c r="AD51" s="108"/>
      <c r="AE51" s="108"/>
      <c r="AF51" s="108"/>
      <c r="AG51" s="108"/>
      <c r="AH51" s="108"/>
      <c r="AI51" s="108"/>
      <c r="AJ51" s="109"/>
      <c r="AK51" s="55"/>
      <c r="AL51" s="55"/>
      <c r="AM51" s="107" t="str">
        <f>IF([7]回答表!AD43="●",[7]回答表!B104,"")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36" customHeight="1" x14ac:dyDescent="0.4">
      <c r="C62" s="32"/>
      <c r="D62" s="89" t="s">
        <v>18</v>
      </c>
      <c r="E62" s="90"/>
      <c r="F62" s="90"/>
      <c r="G62" s="90"/>
      <c r="H62" s="90"/>
      <c r="I62" s="90"/>
      <c r="J62" s="90"/>
      <c r="K62" s="90"/>
      <c r="L62" s="90"/>
      <c r="M62" s="91"/>
      <c r="N62" s="98" t="str">
        <f>IF([7]回答表!X44="●","●","")</f>
        <v>●</v>
      </c>
      <c r="O62" s="99"/>
      <c r="P62" s="99"/>
      <c r="Q62" s="100"/>
      <c r="R62" s="38"/>
      <c r="S62" s="38"/>
      <c r="T62" s="38"/>
      <c r="U62" s="107" t="str">
        <f>IF([7]回答表!X44="●",[7]回答表!B115,IF([7]回答表!AA44="●",[7]回答表!B127,""))</f>
        <v>　短期入所生活介護事業について雄勝福祉会（現：雄勝なごみ会）に譲渡。
　施設譲渡による市有財産の縮減や、複合サービス提供に係る施設管理費や人件費等313,820千円の経費節減が図られ、職員の配置替えにより他の住民サービス業務の充実が可能となった。
　また、利用者はこれまで同様のサービスを同一施設で受けながら、民間事業者の育成にも寄与することとなった。</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IF([7]回答表!X44="●",[7]回答表!S121,IF([7]回答表!AA44="●",[7]回答表!S133,""))</f>
        <v>平成</v>
      </c>
      <c r="BG62" s="117"/>
      <c r="BH62" s="117"/>
      <c r="BI62" s="117"/>
      <c r="BJ62" s="116"/>
      <c r="BK62" s="117"/>
      <c r="BL62" s="117"/>
      <c r="BM62" s="117"/>
      <c r="BN62" s="116"/>
      <c r="BO62" s="117"/>
      <c r="BP62" s="117"/>
      <c r="BQ62" s="118"/>
      <c r="BR62" s="37"/>
      <c r="BS62" s="24"/>
    </row>
    <row r="63" spans="1:71" ht="3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3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3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IF([7]回答表!X44="●",[7]回答表!J121,IF([7]回答表!AA44="●",[7]回答表!J133,""))</f>
        <v>●</v>
      </c>
      <c r="AN65" s="120"/>
      <c r="AO65" s="120"/>
      <c r="AP65" s="120"/>
      <c r="AQ65" s="120"/>
      <c r="AR65" s="120"/>
      <c r="AS65" s="120"/>
      <c r="AT65" s="121"/>
      <c r="AU65" s="119" t="str">
        <f>IF([7]回答表!X44="●",[7]回答表!J122,IF([7]回答表!AA44="●",[7]回答表!J134,""))</f>
        <v xml:space="preserve"> </v>
      </c>
      <c r="AV65" s="120"/>
      <c r="AW65" s="120"/>
      <c r="AX65" s="120"/>
      <c r="AY65" s="120"/>
      <c r="AZ65" s="120"/>
      <c r="BA65" s="120"/>
      <c r="BB65" s="121"/>
      <c r="BC65" s="39"/>
      <c r="BD65" s="34"/>
      <c r="BE65" s="34"/>
      <c r="BF65" s="83">
        <f>IF([7]回答表!X44="●",[7]回答表!V121,IF([7]回答表!AA44="●",[7]回答表!V133,""))</f>
        <v>28</v>
      </c>
      <c r="BG65" s="84"/>
      <c r="BH65" s="84"/>
      <c r="BI65" s="84"/>
      <c r="BJ65" s="83">
        <f>IF([7]回答表!X44="●",[7]回答表!V122,IF([7]回答表!AA44="●",[7]回答表!V134,""))</f>
        <v>4</v>
      </c>
      <c r="BK65" s="84"/>
      <c r="BL65" s="84"/>
      <c r="BM65" s="84"/>
      <c r="BN65" s="83">
        <f>IF([7]回答表!X44="●",[7]回答表!V123,IF([7]回答表!AA44="●",[7]回答表!V135,""))</f>
        <v>1</v>
      </c>
      <c r="BO65" s="84"/>
      <c r="BP65" s="84"/>
      <c r="BQ65" s="87"/>
      <c r="BR65" s="37"/>
      <c r="BS65" s="24"/>
    </row>
    <row r="66" spans="1:71" ht="3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3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36" customHeight="1" x14ac:dyDescent="0.4">
      <c r="C68" s="32"/>
      <c r="D68" s="134" t="s">
        <v>26</v>
      </c>
      <c r="E68" s="135"/>
      <c r="F68" s="135"/>
      <c r="G68" s="135"/>
      <c r="H68" s="135"/>
      <c r="I68" s="135"/>
      <c r="J68" s="135"/>
      <c r="K68" s="135"/>
      <c r="L68" s="135"/>
      <c r="M68" s="136"/>
      <c r="N68" s="98" t="str">
        <f>IF([7]回答表!AA44="●","●","")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3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3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3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IF([7]回答表!AD44="●","●","")</f>
        <v/>
      </c>
      <c r="O74" s="99"/>
      <c r="P74" s="99"/>
      <c r="Q74" s="100"/>
      <c r="R74" s="38"/>
      <c r="S74" s="38"/>
      <c r="T74" s="38"/>
      <c r="U74" s="107" t="str">
        <f>IF([7]回答表!AD44="●",[7]回答表!B140,"")</f>
        <v/>
      </c>
      <c r="V74" s="108"/>
      <c r="W74" s="108"/>
      <c r="X74" s="108"/>
      <c r="Y74" s="108"/>
      <c r="Z74" s="108"/>
      <c r="AA74" s="108"/>
      <c r="AB74" s="108"/>
      <c r="AC74" s="108"/>
      <c r="AD74" s="108"/>
      <c r="AE74" s="108"/>
      <c r="AF74" s="108"/>
      <c r="AG74" s="108"/>
      <c r="AH74" s="108"/>
      <c r="AI74" s="108"/>
      <c r="AJ74" s="109"/>
      <c r="AK74" s="55"/>
      <c r="AL74" s="55"/>
      <c r="AM74" s="107" t="str">
        <f>IF([7]回答表!AD44="●",[7]回答表!B146,"")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IF([7]回答表!F17="水道事業",IF([7]回答表!X45="●","●",""),"")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IF([7]回答表!F17="水道事業",IF([7]回答表!X45="●",[7]回答表!B158,IF([7]回答表!AA45="●",[7]回答表!B223,"")),"")</f>
        <v/>
      </c>
      <c r="AN86" s="212"/>
      <c r="AO86" s="212"/>
      <c r="AP86" s="212"/>
      <c r="AQ86" s="212"/>
      <c r="AR86" s="212"/>
      <c r="AS86" s="212"/>
      <c r="AT86" s="212"/>
      <c r="AU86" s="212"/>
      <c r="AV86" s="212"/>
      <c r="AW86" s="212"/>
      <c r="AX86" s="212"/>
      <c r="AY86" s="212"/>
      <c r="AZ86" s="212"/>
      <c r="BA86" s="212"/>
      <c r="BB86" s="212"/>
      <c r="BC86" s="213"/>
      <c r="BD86" s="34"/>
      <c r="BE86" s="34"/>
      <c r="BF86" s="116" t="str">
        <f>IF([7]回答表!F17="水道事業",IF([7]回答表!X45="●",[7]回答表!B212,IF([7]回答表!AA45="●",[7]回答表!B278,"")),"")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IF([7]回答表!F17="水道事業",IF([7]回答表!X45="●",[7]回答表!J166,IF([7]回答表!AA45="●",[7]回答表!J231,"")),"")</f>
        <v/>
      </c>
      <c r="V88" s="120"/>
      <c r="W88" s="120"/>
      <c r="X88" s="120"/>
      <c r="Y88" s="120"/>
      <c r="Z88" s="120"/>
      <c r="AA88" s="120"/>
      <c r="AB88" s="121"/>
      <c r="AC88" s="119" t="str">
        <f>IF([7]回答表!F17="水道事業",IF([7]回答表!X45="●",[7]回答表!J173,IF([7]回答表!AA45="●",[7]回答表!J238,"")),"")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IF([7]回答表!F17="水道事業",IF([7]回答表!X45="●",[7]回答表!E212,IF([7]回答表!AA45="●",[7]回答表!E278,"")),"")</f>
        <v/>
      </c>
      <c r="BG89" s="84"/>
      <c r="BH89" s="84"/>
      <c r="BI89" s="84"/>
      <c r="BJ89" s="83" t="str">
        <f>IF([7]回答表!F17="水道事業",IF([7]回答表!X45="●",[7]回答表!E213,IF([7]回答表!AA45="●",[7]回答表!E279,"")),"")</f>
        <v/>
      </c>
      <c r="BK89" s="84"/>
      <c r="BL89" s="84"/>
      <c r="BM89" s="84"/>
      <c r="BN89" s="83" t="str">
        <f>IF([7]回答表!F17="水道事業",IF([7]回答表!X45="●",[7]回答表!E214,IF([7]回答表!AA45="●",[7]回答表!E280,"")),"")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IF([7]回答表!F17="水道事業",IF([7]回答表!AA45="●","●",""),"")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IF([7]回答表!F17="水道事業",IF([7]回答表!X45="●",[7]回答表!J176,IF([7]回答表!AA45="●",[7]回答表!J241,"")),"")</f>
        <v/>
      </c>
      <c r="V93" s="120"/>
      <c r="W93" s="120"/>
      <c r="X93" s="120"/>
      <c r="Y93" s="120"/>
      <c r="Z93" s="120"/>
      <c r="AA93" s="120"/>
      <c r="AB93" s="121"/>
      <c r="AC93" s="119" t="str">
        <f>IF([7]回答表!F17="水道事業",IF([7]回答表!X45="●",[7]回答表!J180,IF([7]回答表!AA45="●",[7]回答表!J245,"")),"")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IF([7]回答表!F17="水道事業",IF([7]回答表!AD45="●","●",""),"")</f>
        <v/>
      </c>
      <c r="O98" s="99"/>
      <c r="P98" s="99"/>
      <c r="Q98" s="100"/>
      <c r="R98" s="38"/>
      <c r="S98" s="38"/>
      <c r="T98" s="38"/>
      <c r="U98" s="107" t="str">
        <f>IF([7]回答表!F17="水道事業",IF([7]回答表!AD45="●",[7]回答表!B289,""),"")</f>
        <v/>
      </c>
      <c r="V98" s="108"/>
      <c r="W98" s="108"/>
      <c r="X98" s="108"/>
      <c r="Y98" s="108"/>
      <c r="Z98" s="108"/>
      <c r="AA98" s="108"/>
      <c r="AB98" s="108"/>
      <c r="AC98" s="108"/>
      <c r="AD98" s="108"/>
      <c r="AE98" s="108"/>
      <c r="AF98" s="108"/>
      <c r="AG98" s="108"/>
      <c r="AH98" s="108"/>
      <c r="AI98" s="108"/>
      <c r="AJ98" s="109"/>
      <c r="AK98" s="55"/>
      <c r="AL98" s="55"/>
      <c r="AM98" s="107" t="str">
        <f>IF([7]回答表!F17="水道事業",IF([7]回答表!AD45="●",[7]回答表!B295,""),"")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IF([7]回答表!F17="簡易水道事業",IF([7]回答表!X45="●",[7]回答表!B158,IF([7]回答表!AA45="●",[7]回答表!B223,"")),"")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IF([7]回答表!F17="簡易水道事業",IF([7]回答表!X45="●",[7]回答表!B212,IF([7]回答表!AA45="●",[7]回答表!B278,"")),"")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IF([7]回答表!F17="簡易水道事業",IF([7]回答表!X45="●","●",""),"")</f>
        <v/>
      </c>
      <c r="O112" s="99"/>
      <c r="P112" s="99"/>
      <c r="Q112" s="100"/>
      <c r="R112" s="38"/>
      <c r="S112" s="38"/>
      <c r="T112" s="38"/>
      <c r="U112" s="119" t="str">
        <f>IF([7]回答表!F17="簡易水道事業",IF([7]回答表!X45="●",[7]回答表!Y185,IF([7]回答表!AA45="●",[7]回答表!Y251,"")),"")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IF([7]回答表!F17="簡易水道事業",IF([7]回答表!X45="●",[7]回答表!E212,IF([7]回答表!AA45="●",[7]回答表!E278,"")),"")</f>
        <v/>
      </c>
      <c r="BG113" s="84"/>
      <c r="BH113" s="84"/>
      <c r="BI113" s="84"/>
      <c r="BJ113" s="83" t="str">
        <f>IF([7]回答表!F17="簡易水道事業",IF([7]回答表!X45="●",[7]回答表!E213,IF([7]回答表!AA45="●",[7]回答表!E279,"")),"")</f>
        <v/>
      </c>
      <c r="BK113" s="84"/>
      <c r="BL113" s="84"/>
      <c r="BM113" s="84"/>
      <c r="BN113" s="83" t="str">
        <f>IF([7]回答表!F17="簡易水道事業",IF([7]回答表!X45="●",[7]回答表!E214,IF([7]回答表!AA45="●",[7]回答表!E280,"")),"")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IF([7]回答表!F17="簡易水道事業",IF([7]回答表!X45="●",[7]回答表!Y186,IF([7]回答表!AA45="●",[7]回答表!Y252,"")),"")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IF([7]回答表!F17="簡易水道事業",IF([7]回答表!AA45="●","●",""),"")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IF([7]回答表!F17="簡易水道事業",IF([7]回答表!X45="●",[7]回答表!Y187,IF([7]回答表!AA45="●",[7]回答表!Y253,"")),"")</f>
        <v/>
      </c>
      <c r="V122" s="120"/>
      <c r="W122" s="120"/>
      <c r="X122" s="120"/>
      <c r="Y122" s="120"/>
      <c r="Z122" s="120"/>
      <c r="AA122" s="120"/>
      <c r="AB122" s="120"/>
      <c r="AC122" s="120"/>
      <c r="AD122" s="120"/>
      <c r="AE122" s="120"/>
      <c r="AF122" s="120"/>
      <c r="AG122" s="120"/>
      <c r="AH122" s="120"/>
      <c r="AI122" s="120"/>
      <c r="AJ122" s="121"/>
      <c r="AK122" s="18"/>
      <c r="AL122" s="18"/>
      <c r="AM122" s="228" t="str">
        <f>IF([7]回答表!F17="簡易水道事業",IF([7]回答表!X45="●",[7]回答表!Y189,IF([7]回答表!AA45="●",[7]回答表!Y255,"")),"")</f>
        <v/>
      </c>
      <c r="AN122" s="228"/>
      <c r="AO122" s="228"/>
      <c r="AP122" s="228"/>
      <c r="AQ122" s="228"/>
      <c r="AR122" s="228"/>
      <c r="AS122" s="228" t="str">
        <f>IF([7]回答表!F17="簡易水道事業",IF([7]回答表!X45="●",[7]回答表!Y190,IF([7]回答表!AA45="●",[7]回答表!Y256,"")),"")</f>
        <v/>
      </c>
      <c r="AT122" s="228"/>
      <c r="AU122" s="228"/>
      <c r="AV122" s="228"/>
      <c r="AW122" s="228"/>
      <c r="AX122" s="228"/>
      <c r="AY122" s="228" t="str">
        <f>IF([7]回答表!F17="簡易水道事業",IF([7]回答表!X45="●",[7]回答表!Y191,IF([7]回答表!AA45="●",[7]回答表!Y257,"")),"")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IF([7]回答表!F17="簡易水道事業",IF([7]回答表!AD45="●","●",""),"")</f>
        <v/>
      </c>
      <c r="O127" s="99"/>
      <c r="P127" s="99"/>
      <c r="Q127" s="100"/>
      <c r="R127" s="38"/>
      <c r="S127" s="38"/>
      <c r="T127" s="38"/>
      <c r="U127" s="107" t="str">
        <f>IF([7]回答表!F17="簡易水道事業",IF([7]回答表!AD45="●",[7]回答表!B289,""),"")</f>
        <v/>
      </c>
      <c r="V127" s="108"/>
      <c r="W127" s="108"/>
      <c r="X127" s="108"/>
      <c r="Y127" s="108"/>
      <c r="Z127" s="108"/>
      <c r="AA127" s="108"/>
      <c r="AB127" s="108"/>
      <c r="AC127" s="108"/>
      <c r="AD127" s="108"/>
      <c r="AE127" s="108"/>
      <c r="AF127" s="108"/>
      <c r="AG127" s="108"/>
      <c r="AH127" s="108"/>
      <c r="AI127" s="108"/>
      <c r="AJ127" s="109"/>
      <c r="AK127" s="55"/>
      <c r="AL127" s="55"/>
      <c r="AM127" s="107" t="str">
        <f>IF([7]回答表!F17="簡易水道事業",IF([7]回答表!AD45="●",[7]回答表!B295,""),"")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IF([7]回答表!F17="下水道事業",IF([7]回答表!X45="●","●",""),"")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IF([7]回答表!F17="下水道事業",IF([7]回答表!X45="●",[7]回答表!B158,IF([7]回答表!AA45="●",[7]回答表!B223,"")),"")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IF([7]回答表!F17="下水道事業",IF([7]回答表!X45="●",[7]回答表!B212,IF([7]回答表!AA45="●",[7]回答表!B278,"")),"")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IF([7]回答表!F17="下水道事業",IF([7]回答表!X45="●",[7]回答表!Y193,IF([7]回答表!AA45="●",[7]回答表!Y259,"")),"")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IF([7]回答表!F17="下水道事業",IF([7]回答表!X45="●",[7]回答表!E212,IF([7]回答表!AA45="●",[7]回答表!E278,"")),"")</f>
        <v/>
      </c>
      <c r="BG142" s="84"/>
      <c r="BH142" s="84"/>
      <c r="BI142" s="84"/>
      <c r="BJ142" s="83" t="str">
        <f>IF([7]回答表!F17="下水道事業",IF([7]回答表!X45="●",[7]回答表!E213,IF([7]回答表!AA45="●",[7]回答表!E279,"")),"")</f>
        <v/>
      </c>
      <c r="BK142" s="84"/>
      <c r="BL142" s="84"/>
      <c r="BM142" s="84"/>
      <c r="BN142" s="83" t="str">
        <f>IF([7]回答表!F17="下水道事業",IF([7]回答表!X45="●",[7]回答表!E214,IF([7]回答表!AA45="●",[7]回答表!E280,"")),"")</f>
        <v/>
      </c>
      <c r="BO142" s="84"/>
      <c r="BP142" s="84"/>
      <c r="BQ142" s="87"/>
      <c r="BR142" s="37"/>
      <c r="BX142" s="211" t="str">
        <f>IF([7]回答表!AQ20="下水道事業",IF([7]回答表!BI48="○",[7]回答表!AM161,IF([7]回答表!BL48="○",[7]回答表!AM226,"")),"")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IF([7]回答表!F17="下水道事業",IF([7]回答表!X45="●",[7]回答表!Y195,IF([7]回答表!AA45="●",[7]回答表!Y261,"")),"")</f>
        <v/>
      </c>
      <c r="V147" s="120"/>
      <c r="W147" s="120"/>
      <c r="X147" s="120"/>
      <c r="Y147" s="120"/>
      <c r="Z147" s="120"/>
      <c r="AA147" s="120"/>
      <c r="AB147" s="121"/>
      <c r="AC147" s="119" t="str">
        <f>IF([7]回答表!F17="下水道事業",IF([7]回答表!X45="●",[7]回答表!Y196,IF([7]回答表!AA45="●",[7]回答表!Y262,"")),"")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IF([7]回答表!F17="下水道事業",IF([7]回答表!X45="●",[7]回答表!Y198,IF([7]回答表!AA45="●",[7]回答表!Y264,"")),"")</f>
        <v/>
      </c>
      <c r="V153" s="120"/>
      <c r="W153" s="120"/>
      <c r="X153" s="120"/>
      <c r="Y153" s="120"/>
      <c r="Z153" s="120"/>
      <c r="AA153" s="120"/>
      <c r="AB153" s="121"/>
      <c r="AC153" s="119" t="str">
        <f>IF([7]回答表!F17="下水道事業",IF([7]回答表!X45="●",[7]回答表!Y199,IF([7]回答表!AA45="●",[7]回答表!Y265,"")),"")</f>
        <v/>
      </c>
      <c r="AD153" s="120"/>
      <c r="AE153" s="120"/>
      <c r="AF153" s="120"/>
      <c r="AG153" s="120"/>
      <c r="AH153" s="120"/>
      <c r="AI153" s="120"/>
      <c r="AJ153" s="121"/>
      <c r="AK153" s="119" t="str">
        <f>IF([7]回答表!F17="下水道事業",IF([7]回答表!X45="●",[7]回答表!Y200,IF([7]回答表!AA45="●",[7]回答表!Y266,"")),"")</f>
        <v/>
      </c>
      <c r="AL153" s="120"/>
      <c r="AM153" s="120"/>
      <c r="AN153" s="120"/>
      <c r="AO153" s="120"/>
      <c r="AP153" s="120"/>
      <c r="AQ153" s="120"/>
      <c r="AR153" s="121"/>
      <c r="AS153" s="119" t="str">
        <f>IF([7]回答表!F17="下水道事業",IF([7]回答表!X45="●",[7]回答表!Y201,IF([7]回答表!AA45="●",[7]回答表!Y267,"")),"")</f>
        <v/>
      </c>
      <c r="AT153" s="120"/>
      <c r="AU153" s="120"/>
      <c r="AV153" s="120"/>
      <c r="AW153" s="120"/>
      <c r="AX153" s="120"/>
      <c r="AY153" s="120"/>
      <c r="AZ153" s="121"/>
      <c r="BA153" s="119" t="str">
        <f>IF([7]回答表!F17="下水道事業",IF([7]回答表!X45="●",[7]回答表!Y202,IF([7]回答表!AA45="●",[7]回答表!Y268,"")),"")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IF([7]回答表!F17="下水道事業",IF([7]回答表!AA45="●","●",""),"")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IF([7]回答表!F17="下水道事業",IF([7]回答表!X45="●",[7]回答表!Y207,IF([7]回答表!AA45="●",[7]回答表!Y273,"")),"")</f>
        <v/>
      </c>
      <c r="V159" s="120"/>
      <c r="W159" s="120"/>
      <c r="X159" s="120"/>
      <c r="Y159" s="120"/>
      <c r="Z159" s="120"/>
      <c r="AA159" s="120"/>
      <c r="AB159" s="121"/>
      <c r="AC159" s="119" t="str">
        <f>IF([7]回答表!F17="下水道事業",IF([7]回答表!X45="●",[7]回答表!Y208,IF([7]回答表!AA45="●",[7]回答表!Y274,"")),"")</f>
        <v/>
      </c>
      <c r="AD159" s="120"/>
      <c r="AE159" s="120"/>
      <c r="AF159" s="120"/>
      <c r="AG159" s="120"/>
      <c r="AH159" s="120"/>
      <c r="AI159" s="120"/>
      <c r="AJ159" s="121"/>
      <c r="AK159" s="119" t="str">
        <f>IF([7]回答表!F17="下水道事業",IF([7]回答表!X45="●",[7]回答表!Y209,IF([7]回答表!AA45="●",[7]回答表!Y275,"")),"")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IF([7]回答表!F17="下水道事業",IF([7]回答表!AD45="●","●",""),"")</f>
        <v/>
      </c>
      <c r="O164" s="99"/>
      <c r="P164" s="99"/>
      <c r="Q164" s="100"/>
      <c r="R164" s="38"/>
      <c r="S164" s="38"/>
      <c r="T164" s="38"/>
      <c r="U164" s="107" t="str">
        <f>IF([7]回答表!F17="下水道事業",IF([7]回答表!AD45="●",[7]回答表!B289,""),"")</f>
        <v/>
      </c>
      <c r="V164" s="108"/>
      <c r="W164" s="108"/>
      <c r="X164" s="108"/>
      <c r="Y164" s="108"/>
      <c r="Z164" s="108"/>
      <c r="AA164" s="108"/>
      <c r="AB164" s="108"/>
      <c r="AC164" s="108"/>
      <c r="AD164" s="108"/>
      <c r="AE164" s="108"/>
      <c r="AF164" s="108"/>
      <c r="AG164" s="108"/>
      <c r="AH164" s="108"/>
      <c r="AI164" s="108"/>
      <c r="AJ164" s="109"/>
      <c r="AK164" s="55"/>
      <c r="AL164" s="55"/>
      <c r="AM164" s="107" t="str">
        <f>IF([7]回答表!F17="下水道事業",IF([7]回答表!AD45="●",[7]回答表!B295,""),"")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IF([7]回答表!BD17="●",IF([7]回答表!X45="●","●",""),"")</f>
        <v/>
      </c>
      <c r="O176" s="99"/>
      <c r="P176" s="99"/>
      <c r="Q176" s="100"/>
      <c r="R176" s="38"/>
      <c r="S176" s="38"/>
      <c r="T176" s="38"/>
      <c r="U176" s="107" t="str">
        <f>IF([7]回答表!BD17="●",IF([7]回答表!X45="●",[7]回答表!B158,IF([7]回答表!AA45="●",[7]回答表!B223,"")),"")</f>
        <v/>
      </c>
      <c r="V176" s="108"/>
      <c r="W176" s="108"/>
      <c r="X176" s="108"/>
      <c r="Y176" s="108"/>
      <c r="Z176" s="108"/>
      <c r="AA176" s="108"/>
      <c r="AB176" s="108"/>
      <c r="AC176" s="108"/>
      <c r="AD176" s="108"/>
      <c r="AE176" s="108"/>
      <c r="AF176" s="108"/>
      <c r="AG176" s="108"/>
      <c r="AH176" s="108"/>
      <c r="AI176" s="108"/>
      <c r="AJ176" s="109"/>
      <c r="AK176" s="49"/>
      <c r="AL176" s="49"/>
      <c r="AM176" s="116" t="str">
        <f>IF([7]回答表!BD17="●",IF([7]回答表!X45="●",[7]回答表!B212,IF([7]回答表!AA45="●",[7]回答表!B278,"")),"")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IF([7]回答表!BD17="●",IF([7]回答表!X45="●",[7]回答表!E212,IF([7]回答表!AA45="●",[7]回答表!E278,"")),"")</f>
        <v/>
      </c>
      <c r="AN179" s="84"/>
      <c r="AO179" s="84"/>
      <c r="AP179" s="84"/>
      <c r="AQ179" s="83" t="str">
        <f>IF([7]回答表!BD17="●",IF([7]回答表!X45="●",[7]回答表!E213,IF([7]回答表!AA45="●",[7]回答表!E279,"")),"")</f>
        <v/>
      </c>
      <c r="AR179" s="84"/>
      <c r="AS179" s="84"/>
      <c r="AT179" s="84"/>
      <c r="AU179" s="83" t="str">
        <f>IF([7]回答表!BD17="●",IF([7]回答表!X45="●",[7]回答表!E214,IF([7]回答表!AA45="●",[7]回答表!E280,"")),"")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IF([7]回答表!BD17="●",IF([7]回答表!AA45="●","●",""),"")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IF([7]回答表!BD17="●",IF([7]回答表!AD45="●","●",""),"")</f>
        <v/>
      </c>
      <c r="O188" s="99"/>
      <c r="P188" s="99"/>
      <c r="Q188" s="100"/>
      <c r="R188" s="38"/>
      <c r="S188" s="38"/>
      <c r="T188" s="38"/>
      <c r="U188" s="107" t="str">
        <f>IF([7]回答表!BD17="●",IF([7]回答表!AD45="●",[7]回答表!B289,""),"")</f>
        <v/>
      </c>
      <c r="V188" s="108"/>
      <c r="W188" s="108"/>
      <c r="X188" s="108"/>
      <c r="Y188" s="108"/>
      <c r="Z188" s="108"/>
      <c r="AA188" s="108"/>
      <c r="AB188" s="108"/>
      <c r="AC188" s="108"/>
      <c r="AD188" s="108"/>
      <c r="AE188" s="108"/>
      <c r="AF188" s="108"/>
      <c r="AG188" s="108"/>
      <c r="AH188" s="108"/>
      <c r="AI188" s="108"/>
      <c r="AJ188" s="109"/>
      <c r="AK188" s="55"/>
      <c r="AL188" s="55"/>
      <c r="AM188" s="107" t="str">
        <f>IF([7]回答表!BD17="●",IF([7]回答表!AD45="●",[7]回答表!B295,""),"")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IF([7]回答表!X46="●","●","")</f>
        <v/>
      </c>
      <c r="O200" s="99"/>
      <c r="P200" s="99"/>
      <c r="Q200" s="100"/>
      <c r="R200" s="38"/>
      <c r="S200" s="38"/>
      <c r="T200" s="38"/>
      <c r="U200" s="107" t="str">
        <f>IF([7]回答表!X46="●",[7]回答表!B307,IF([7]回答表!AA46="●",[7]回答表!B324,""))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IF([7]回答表!X46="●",[7]回答表!U313,IF([7]回答表!AA46="●",[7]回答表!U330,""))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IF([7]回答表!X46="●",[7]回答表!G313,IF([7]回答表!AA46="●",[7]回答表!G330,""))</f>
        <v/>
      </c>
      <c r="AN203" s="120"/>
      <c r="AO203" s="120"/>
      <c r="AP203" s="120"/>
      <c r="AQ203" s="120"/>
      <c r="AR203" s="120"/>
      <c r="AS203" s="120"/>
      <c r="AT203" s="121"/>
      <c r="AU203" s="119" t="str">
        <f>IF([7]回答表!X46="●",[7]回答表!G314,IF([7]回答表!AA46="●",[7]回答表!G331,""))</f>
        <v/>
      </c>
      <c r="AV203" s="120"/>
      <c r="AW203" s="120"/>
      <c r="AX203" s="120"/>
      <c r="AY203" s="120"/>
      <c r="AZ203" s="120"/>
      <c r="BA203" s="120"/>
      <c r="BB203" s="121"/>
      <c r="BC203" s="39"/>
      <c r="BD203" s="34"/>
      <c r="BE203" s="34"/>
      <c r="BF203" s="83" t="str">
        <f>IF([7]回答表!X46="●",[7]回答表!X313,IF([7]回答表!AA46="●",[7]回答表!X330,""))</f>
        <v/>
      </c>
      <c r="BG203" s="84"/>
      <c r="BH203" s="84"/>
      <c r="BI203" s="84"/>
      <c r="BJ203" s="83" t="str">
        <f>IF([7]回答表!X46="●",[7]回答表!X314,IF([7]回答表!AA46="●",[7]回答表!X331,""))</f>
        <v/>
      </c>
      <c r="BK203" s="84"/>
      <c r="BL203" s="84"/>
      <c r="BM203" s="87"/>
      <c r="BN203" s="83" t="str">
        <f>IF([7]回答表!X46="●",[7]回答表!X315,IF([7]回答表!AA46="●",[7]回答表!X332,""))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IF([7]回答表!AA46="●","●","")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IF([7]回答表!AD46="●","●","")</f>
        <v/>
      </c>
      <c r="O212" s="99"/>
      <c r="P212" s="99"/>
      <c r="Q212" s="100"/>
      <c r="R212" s="38"/>
      <c r="S212" s="38"/>
      <c r="T212" s="38"/>
      <c r="U212" s="107" t="str">
        <f>IF([7]回答表!AD46="●",[7]回答表!B337,"")</f>
        <v/>
      </c>
      <c r="V212" s="108"/>
      <c r="W212" s="108"/>
      <c r="X212" s="108"/>
      <c r="Y212" s="108"/>
      <c r="Z212" s="108"/>
      <c r="AA212" s="108"/>
      <c r="AB212" s="108"/>
      <c r="AC212" s="108"/>
      <c r="AD212" s="108"/>
      <c r="AE212" s="108"/>
      <c r="AF212" s="108"/>
      <c r="AG212" s="108"/>
      <c r="AH212" s="108"/>
      <c r="AI212" s="108"/>
      <c r="AJ212" s="109"/>
      <c r="AK212" s="62"/>
      <c r="AL212" s="62"/>
      <c r="AM212" s="107" t="str">
        <f>IF([7]回答表!AD46="●",[7]回答表!B343,"")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IF([7]回答表!X47="●","●","")</f>
        <v/>
      </c>
      <c r="O224" s="99"/>
      <c r="P224" s="99"/>
      <c r="Q224" s="100"/>
      <c r="R224" s="38"/>
      <c r="S224" s="38"/>
      <c r="T224" s="38"/>
      <c r="U224" s="107" t="str">
        <f>IF([7]回答表!X47="●",[7]回答表!B356,IF([7]回答表!AA47="●",[7]回答表!B379,""))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IF([7]回答表!X47="●",[7]回答表!B362,"")</f>
        <v/>
      </c>
      <c r="AO224" s="182"/>
      <c r="AP224" s="182"/>
      <c r="AQ224" s="182"/>
      <c r="AR224" s="182"/>
      <c r="AS224" s="182"/>
      <c r="AT224" s="182"/>
      <c r="AU224" s="182"/>
      <c r="AV224" s="182"/>
      <c r="AW224" s="182"/>
      <c r="AX224" s="182"/>
      <c r="AY224" s="182"/>
      <c r="AZ224" s="182"/>
      <c r="BA224" s="182"/>
      <c r="BB224" s="183"/>
      <c r="BC224" s="39"/>
      <c r="BD224" s="34"/>
      <c r="BE224" s="34"/>
      <c r="BF224" s="116" t="str">
        <f>IF([7]回答表!X47="●",[7]回答表!B368,IF([7]回答表!AA47="●",[7]回答表!B385,""))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IF([7]回答表!X47="●",[7]回答表!E368,IF([7]回答表!AA47="●",[7]回答表!E385,""))</f>
        <v/>
      </c>
      <c r="BG227" s="84"/>
      <c r="BH227" s="84"/>
      <c r="BI227" s="84"/>
      <c r="BJ227" s="83" t="str">
        <f>IF([7]回答表!X47="●",[7]回答表!E369,IF([7]回答表!AA47="●",[7]回答表!E386,""))</f>
        <v/>
      </c>
      <c r="BK227" s="84"/>
      <c r="BL227" s="84"/>
      <c r="BM227" s="87"/>
      <c r="BN227" s="83" t="str">
        <f>IF([7]回答表!X47="●",[7]回答表!E370,IF([7]回答表!AA47="●",[7]回答表!E387,""))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IF([7]回答表!AA47="●","●","")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IF([7]回答表!AD47="●","●","")</f>
        <v/>
      </c>
      <c r="O236" s="99"/>
      <c r="P236" s="99"/>
      <c r="Q236" s="100"/>
      <c r="R236" s="38"/>
      <c r="S236" s="38"/>
      <c r="T236" s="38"/>
      <c r="U236" s="107" t="str">
        <f>IF([7]回答表!AD47="●",[7]回答表!B392,"")</f>
        <v/>
      </c>
      <c r="V236" s="108"/>
      <c r="W236" s="108"/>
      <c r="X236" s="108"/>
      <c r="Y236" s="108"/>
      <c r="Z236" s="108"/>
      <c r="AA236" s="108"/>
      <c r="AB236" s="108"/>
      <c r="AC236" s="108"/>
      <c r="AD236" s="108"/>
      <c r="AE236" s="108"/>
      <c r="AF236" s="108"/>
      <c r="AG236" s="108"/>
      <c r="AH236" s="108"/>
      <c r="AI236" s="108"/>
      <c r="AJ236" s="109"/>
      <c r="AK236" s="62"/>
      <c r="AL236" s="62"/>
      <c r="AM236" s="107" t="str">
        <f>IF([7]回答表!AD47="●",[7]回答表!B398,"")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IF([7]回答表!X48="●","●","")</f>
        <v/>
      </c>
      <c r="O248" s="99"/>
      <c r="P248" s="99"/>
      <c r="Q248" s="100"/>
      <c r="R248" s="38"/>
      <c r="S248" s="38"/>
      <c r="T248" s="38"/>
      <c r="U248" s="107" t="str">
        <f>IF([7]回答表!X48="●",[7]回答表!B411,IF([7]回答表!AA48="●",[7]回答表!B425,""))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IF([7]回答表!X48="●",[7]回答表!BC418,IF([7]回答表!AA48="●",[7]回答表!BC432,""))</f>
        <v/>
      </c>
      <c r="AR248" s="151"/>
      <c r="AS248" s="151"/>
      <c r="AT248" s="151"/>
      <c r="AU248" s="173" t="s">
        <v>73</v>
      </c>
      <c r="AV248" s="174"/>
      <c r="AW248" s="174"/>
      <c r="AX248" s="175"/>
      <c r="AY248" s="151" t="str">
        <f>IF([7]回答表!X48="●",[7]回答表!BC423,IF([7]回答表!AA48="●",[7]回答表!BC437,""))</f>
        <v/>
      </c>
      <c r="AZ248" s="151"/>
      <c r="BA248" s="151"/>
      <c r="BB248" s="151"/>
      <c r="BC248" s="39"/>
      <c r="BD248" s="34"/>
      <c r="BE248" s="34"/>
      <c r="BF248" s="116" t="str">
        <f>IF([7]回答表!X48="●",[7]回答表!S417,IF([7]回答表!AA48="●",[7]回答表!S431,""))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IF([7]回答表!X48="●",[7]回答表!BC419,IF([7]回答表!AA48="●",[7]回答表!BC433,""))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IF([7]回答表!X48="●",[7]回答表!V417,IF([7]回答表!AA48="●",[7]回答表!V431,""))</f>
        <v/>
      </c>
      <c r="BG251" s="84"/>
      <c r="BH251" s="84"/>
      <c r="BI251" s="84"/>
      <c r="BJ251" s="83" t="str">
        <f>IF([7]回答表!X48="●",[7]回答表!V418,IF([7]回答表!AA48="●",[7]回答表!V432,""))</f>
        <v/>
      </c>
      <c r="BK251" s="84"/>
      <c r="BL251" s="84"/>
      <c r="BM251" s="87"/>
      <c r="BN251" s="83" t="str">
        <f>IF([7]回答表!X48="●",[7]回答表!V419,IF([7]回答表!AA48="●",[7]回答表!V433,""))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IF([7]回答表!X48="●",[7]回答表!BC420,IF([7]回答表!AA48="●",[7]回答表!BC434,""))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IF([7]回答表!X48="●",[7]回答表!BC424,IF([7]回答表!AA48="●",[7]回答表!BC438,""))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IF([7]回答表!AA48="●","●","")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IF([7]回答表!X48="●",[7]回答表!BC421,IF([7]回答表!AA48="●",[7]回答表!BC435,""))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IF([7]回答表!X48="●",[7]回答表!BC422,IF([7]回答表!AA48="●",[7]回答表!BC436,""))</f>
        <v/>
      </c>
      <c r="AR256" s="151"/>
      <c r="AS256" s="151"/>
      <c r="AT256" s="151"/>
      <c r="AU256" s="152" t="s">
        <v>79</v>
      </c>
      <c r="AV256" s="153"/>
      <c r="AW256" s="153"/>
      <c r="AX256" s="154"/>
      <c r="AY256" s="158" t="str">
        <f>IF([7]回答表!X48="●",[7]回答表!BC425,IF([7]回答表!AA48="●",[7]回答表!BC439,""))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IF([7]回答表!AD48="●","●","")</f>
        <v/>
      </c>
      <c r="O260" s="99"/>
      <c r="P260" s="99"/>
      <c r="Q260" s="100"/>
      <c r="R260" s="38"/>
      <c r="S260" s="38"/>
      <c r="T260" s="38"/>
      <c r="U260" s="107" t="str">
        <f>IF([7]回答表!AD48="●",[7]回答表!B439,"")</f>
        <v/>
      </c>
      <c r="V260" s="108"/>
      <c r="W260" s="108"/>
      <c r="X260" s="108"/>
      <c r="Y260" s="108"/>
      <c r="Z260" s="108"/>
      <c r="AA260" s="108"/>
      <c r="AB260" s="108"/>
      <c r="AC260" s="108"/>
      <c r="AD260" s="108"/>
      <c r="AE260" s="108"/>
      <c r="AF260" s="108"/>
      <c r="AG260" s="108"/>
      <c r="AH260" s="108"/>
      <c r="AI260" s="108"/>
      <c r="AJ260" s="109"/>
      <c r="AK260" s="55"/>
      <c r="AL260" s="55"/>
      <c r="AM260" s="107" t="str">
        <f>IF([7]回答表!AD48="●",[7]回答表!B445,"")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IF([7]回答表!X49="●","●","")</f>
        <v/>
      </c>
      <c r="O271" s="99"/>
      <c r="P271" s="99"/>
      <c r="Q271" s="100"/>
      <c r="R271" s="38"/>
      <c r="S271" s="38"/>
      <c r="T271" s="38"/>
      <c r="U271" s="107" t="str">
        <f>IF([7]回答表!X49="●",[7]回答表!B458,IF([7]回答表!AA49="●",[7]回答表!B475,""))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IF([7]回答表!X49="●",[7]回答表!B468,IF([7]回答表!AA49="●",[7]回答表!B485,""))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IF([7]回答表!X49="●",[7]回答表!G464,IF([7]回答表!AA49="●",[7]回答表!G481,""))</f>
        <v/>
      </c>
      <c r="AN273" s="120"/>
      <c r="AO273" s="120"/>
      <c r="AP273" s="120"/>
      <c r="AQ273" s="120"/>
      <c r="AR273" s="120"/>
      <c r="AS273" s="120"/>
      <c r="AT273" s="121"/>
      <c r="AU273" s="119" t="str">
        <f>IF([7]回答表!X49="●",[7]回答表!G465,IF([7]回答表!AA49="●",[7]回答表!G482,""))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IF([7]回答表!X49="●",[7]回答表!E468,IF([7]回答表!AA49="●",[7]回答表!E485,""))</f>
        <v/>
      </c>
      <c r="BG274" s="84"/>
      <c r="BH274" s="84"/>
      <c r="BI274" s="84"/>
      <c r="BJ274" s="83" t="str">
        <f>IF([7]回答表!X49="●",[7]回答表!E469,IF([7]回答表!AA49="●",[7]回答表!E486,""))</f>
        <v/>
      </c>
      <c r="BK274" s="84"/>
      <c r="BL274" s="84"/>
      <c r="BM274" s="87"/>
      <c r="BN274" s="83" t="str">
        <f>IF([7]回答表!X49="●",[7]回答表!E470,IF([7]回答表!AA49="●",[7]回答表!E487,""))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IF([7]回答表!AA49="●","●","")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IF([7]回答表!AD49="●","●","")</f>
        <v/>
      </c>
      <c r="O283" s="99"/>
      <c r="P283" s="99"/>
      <c r="Q283" s="100"/>
      <c r="R283" s="38"/>
      <c r="S283" s="38"/>
      <c r="T283" s="38"/>
      <c r="U283" s="107" t="str">
        <f>IF([7]回答表!AD49="●",[7]回答表!B492,"")</f>
        <v/>
      </c>
      <c r="V283" s="108"/>
      <c r="W283" s="108"/>
      <c r="X283" s="108"/>
      <c r="Y283" s="108"/>
      <c r="Z283" s="108"/>
      <c r="AA283" s="108"/>
      <c r="AB283" s="108"/>
      <c r="AC283" s="108"/>
      <c r="AD283" s="108"/>
      <c r="AE283" s="108"/>
      <c r="AF283" s="108"/>
      <c r="AG283" s="108"/>
      <c r="AH283" s="108"/>
      <c r="AI283" s="108"/>
      <c r="AJ283" s="109"/>
      <c r="AK283" s="49"/>
      <c r="AL283" s="49"/>
      <c r="AM283" s="107" t="str">
        <f>IF([7]回答表!AD49="●",[7]回答表!B498,"")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IF([7]回答表!R50="●",[7]回答表!B511,"")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E452A-A7A8-4152-8BD4-072D222D6BC2}">
  <sheetPr>
    <pageSetUpPr fitToPage="1"/>
  </sheetPr>
  <dimension ref="A1:CN315"/>
  <sheetViews>
    <sheetView showZeros="0" view="pageBreakPreview" zoomScale="60" zoomScaleNormal="55" workbookViewId="0">
      <selection activeCell="T47" sqref="T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IF(COUNTIF([6]回答表!K15,"*")&gt;0,[6]回答表!K15,"")</f>
        <v>湯沢市</v>
      </c>
      <c r="D11" s="299"/>
      <c r="E11" s="299"/>
      <c r="F11" s="299"/>
      <c r="G11" s="299"/>
      <c r="H11" s="299"/>
      <c r="I11" s="299"/>
      <c r="J11" s="299"/>
      <c r="K11" s="299"/>
      <c r="L11" s="299"/>
      <c r="M11" s="299"/>
      <c r="N11" s="299"/>
      <c r="O11" s="299"/>
      <c r="P11" s="299"/>
      <c r="Q11" s="299"/>
      <c r="R11" s="299"/>
      <c r="S11" s="299"/>
      <c r="T11" s="299"/>
      <c r="U11" s="306" t="str">
        <f>IF(COUNTIF([6]回答表!F17,"*")&gt;0,[6]回答表!F17,"")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IF(COUNTIF([6]回答表!W17,"*")&gt;0,[6]回答表!W17,"")</f>
        <v>老人デイサービスセンター</v>
      </c>
      <c r="AP11" s="301"/>
      <c r="AQ11" s="301"/>
      <c r="AR11" s="301"/>
      <c r="AS11" s="301"/>
      <c r="AT11" s="301"/>
      <c r="AU11" s="301"/>
      <c r="AV11" s="301"/>
      <c r="AW11" s="301"/>
      <c r="AX11" s="301"/>
      <c r="AY11" s="301"/>
      <c r="AZ11" s="301"/>
      <c r="BA11" s="301"/>
      <c r="BB11" s="301"/>
      <c r="BC11" s="301"/>
      <c r="BD11" s="301"/>
      <c r="BE11" s="301"/>
      <c r="BF11" s="302"/>
      <c r="BG11" s="305" t="str">
        <f>IF(COUNTIF([6]回答表!F19,"*")&gt;0,[6]回答表!F19,"")</f>
        <v>介護サービス特別会計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IF([6]回答表!R43="●","●","")</f>
        <v>●</v>
      </c>
      <c r="E24" s="123"/>
      <c r="F24" s="123"/>
      <c r="G24" s="123"/>
      <c r="H24" s="123"/>
      <c r="I24" s="123"/>
      <c r="J24" s="124"/>
      <c r="K24" s="122" t="str">
        <f>IF([6]回答表!R44="●","●","")</f>
        <v/>
      </c>
      <c r="L24" s="123"/>
      <c r="M24" s="123"/>
      <c r="N24" s="123"/>
      <c r="O24" s="123"/>
      <c r="P24" s="123"/>
      <c r="Q24" s="124"/>
      <c r="R24" s="122" t="str">
        <f>IF([6]回答表!R45="●","●","")</f>
        <v/>
      </c>
      <c r="S24" s="123"/>
      <c r="T24" s="123"/>
      <c r="U24" s="123"/>
      <c r="V24" s="123"/>
      <c r="W24" s="123"/>
      <c r="X24" s="124"/>
      <c r="Y24" s="122" t="str">
        <f>IF([6]回答表!R46="●","●","")</f>
        <v/>
      </c>
      <c r="Z24" s="123"/>
      <c r="AA24" s="123"/>
      <c r="AB24" s="123"/>
      <c r="AC24" s="123"/>
      <c r="AD24" s="123"/>
      <c r="AE24" s="124"/>
      <c r="AF24" s="122" t="str">
        <f>IF([6]回答表!R47="●","●","")</f>
        <v/>
      </c>
      <c r="AG24" s="123"/>
      <c r="AH24" s="123"/>
      <c r="AI24" s="123"/>
      <c r="AJ24" s="123"/>
      <c r="AK24" s="123"/>
      <c r="AL24" s="124"/>
      <c r="AM24" s="122" t="str">
        <f>IF([6]回答表!R48="●","●","")</f>
        <v/>
      </c>
      <c r="AN24" s="123"/>
      <c r="AO24" s="123"/>
      <c r="AP24" s="123"/>
      <c r="AQ24" s="123"/>
      <c r="AR24" s="123"/>
      <c r="AS24" s="124"/>
      <c r="AT24" s="122" t="str">
        <f>IF([6]回答表!R49="●","●","")</f>
        <v/>
      </c>
      <c r="AU24" s="123"/>
      <c r="AV24" s="123"/>
      <c r="AW24" s="123"/>
      <c r="AX24" s="123"/>
      <c r="AY24" s="123"/>
      <c r="AZ24" s="124"/>
      <c r="BA24" s="18"/>
      <c r="BB24" s="119" t="str">
        <f>IF([6]回答表!R50="●","●","")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27" customHeight="1" x14ac:dyDescent="0.4">
      <c r="A36" s="24"/>
      <c r="B36" s="24"/>
      <c r="C36" s="32"/>
      <c r="D36" s="89" t="s">
        <v>18</v>
      </c>
      <c r="E36" s="90"/>
      <c r="F36" s="90"/>
      <c r="G36" s="90"/>
      <c r="H36" s="90"/>
      <c r="I36" s="90"/>
      <c r="J36" s="90"/>
      <c r="K36" s="90"/>
      <c r="L36" s="90"/>
      <c r="M36" s="91"/>
      <c r="N36" s="98" t="str">
        <f>IF([6]回答表!X43="●","●","")</f>
        <v>●</v>
      </c>
      <c r="O36" s="99"/>
      <c r="P36" s="99"/>
      <c r="Q36" s="100"/>
      <c r="R36" s="38"/>
      <c r="S36" s="38"/>
      <c r="T36" s="38"/>
      <c r="U36" s="107" t="str">
        <f>IF([6]回答表!X43="●",[6]回答表!B59,IF([6]回答表!AA43="●",[6]回答表!B79,""))</f>
        <v>　デイサービス事業について、平成28年３月31日をもって事業廃止した。施設譲渡による市有財産の縮減や、複合サービス提供に係る施設管理費や人件費等313,820千円の経費節減が図られ、職員の配置替えにより他の住民サービス業務の充実が可能となった。また、利用者はこれまで同様のサービスを他の民間事業所で受益できており、民間事業者の育成にも寄与することとなった。</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IF([6]回答表!X43="●",[6]回答表!S65,IF([6]回答表!AA43="●",[6]回答表!S85,""))</f>
        <v>平成</v>
      </c>
      <c r="BG36" s="117"/>
      <c r="BH36" s="117"/>
      <c r="BI36" s="117"/>
      <c r="BJ36" s="116"/>
      <c r="BK36" s="117"/>
      <c r="BL36" s="117"/>
      <c r="BM36" s="117"/>
      <c r="BN36" s="116"/>
      <c r="BO36" s="117"/>
      <c r="BP36" s="117"/>
      <c r="BQ36" s="118"/>
      <c r="BR36" s="37"/>
      <c r="BS36" s="24"/>
    </row>
    <row r="37" spans="1:71" ht="27"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27"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IF([6]回答表!X43="●",[6]回答表!G65,IF([6]回答表!AA43="●",[6]回答表!G85,""))</f>
        <v>●</v>
      </c>
      <c r="AN38" s="120"/>
      <c r="AO38" s="120"/>
      <c r="AP38" s="120"/>
      <c r="AQ38" s="120"/>
      <c r="AR38" s="120"/>
      <c r="AS38" s="120"/>
      <c r="AT38" s="121"/>
      <c r="AU38" s="119" t="str">
        <f>IF([6]回答表!X43="●",[6]回答表!G66,IF([6]回答表!AA43="●",[6]回答表!G86,""))</f>
        <v xml:space="preserve">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27"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f>IF([6]回答表!X43="●",[6]回答表!V65,IF([6]回答表!AA43="●",[6]回答表!V85,""))</f>
        <v>28</v>
      </c>
      <c r="BG39" s="249"/>
      <c r="BH39" s="249"/>
      <c r="BI39" s="250"/>
      <c r="BJ39" s="83">
        <f>IF([6]回答表!X43="●",[6]回答表!V66,IF([6]回答表!AA43="●",[6]回答表!V86,""))</f>
        <v>3</v>
      </c>
      <c r="BK39" s="249"/>
      <c r="BL39" s="249"/>
      <c r="BM39" s="250"/>
      <c r="BN39" s="83">
        <f>IF([6]回答表!X43="●",[6]回答表!V67,IF([6]回答表!AA43="●",[6]回答表!V87,""))</f>
        <v>31</v>
      </c>
      <c r="BO39" s="249"/>
      <c r="BP39" s="249"/>
      <c r="BQ39" s="250"/>
      <c r="BR39" s="37"/>
      <c r="BS39" s="24"/>
    </row>
    <row r="40" spans="1:71" ht="27"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27"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27"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IF([6]回答表!X43="●",[6]回答表!O71,IF([6]回答表!AA43="●",[6]回答表!O91,""))</f>
        <v xml:space="preserve">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7"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IF([6]回答表!X43="●",[6]回答表!O72,IF([6]回答表!AA43="●",[6]回答表!O92,""))</f>
        <v xml:space="preserve">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7" customHeight="1" x14ac:dyDescent="0.4">
      <c r="A44" s="24"/>
      <c r="B44" s="24"/>
      <c r="C44" s="32"/>
      <c r="D44" s="134" t="s">
        <v>26</v>
      </c>
      <c r="E44" s="135"/>
      <c r="F44" s="135"/>
      <c r="G44" s="135"/>
      <c r="H44" s="135"/>
      <c r="I44" s="135"/>
      <c r="J44" s="135"/>
      <c r="K44" s="135"/>
      <c r="L44" s="135"/>
      <c r="M44" s="136"/>
      <c r="N44" s="98" t="str">
        <f>IF([6]回答表!AA43="●","●","")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IF([6]回答表!X43="●",[6]回答表!O73,IF([6]回答表!AA43="●",[6]回答表!O93,""))</f>
        <v xml:space="preserve">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27"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IF([6]回答表!X43="●",[6]回答表!O74,IF([6]回答表!AA43="●",[6]回答表!O94,""))</f>
        <v>●</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27"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IF([6]回答表!X43="●",[6]回答表!AG71,IF([6]回答表!AA43="●",[6]回答表!AG91,""))</f>
        <v xml:space="preserve">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27"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IF([6]回答表!X43="●",[6]回答表!AG72,IF([6]回答表!AA43="●",[6]回答表!AG92,""))</f>
        <v xml:space="preserve">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IF([6]回答表!AD43="●","●","")</f>
        <v/>
      </c>
      <c r="O51" s="99"/>
      <c r="P51" s="99"/>
      <c r="Q51" s="100"/>
      <c r="R51" s="38"/>
      <c r="S51" s="38"/>
      <c r="T51" s="38"/>
      <c r="U51" s="107" t="str">
        <f>IF([6]回答表!AD43="●",[6]回答表!B99,"")</f>
        <v/>
      </c>
      <c r="V51" s="108"/>
      <c r="W51" s="108"/>
      <c r="X51" s="108"/>
      <c r="Y51" s="108"/>
      <c r="Z51" s="108"/>
      <c r="AA51" s="108"/>
      <c r="AB51" s="108"/>
      <c r="AC51" s="108"/>
      <c r="AD51" s="108"/>
      <c r="AE51" s="108"/>
      <c r="AF51" s="108"/>
      <c r="AG51" s="108"/>
      <c r="AH51" s="108"/>
      <c r="AI51" s="108"/>
      <c r="AJ51" s="109"/>
      <c r="AK51" s="55"/>
      <c r="AL51" s="55"/>
      <c r="AM51" s="107" t="str">
        <f>IF([6]回答表!AD43="●",[6]回答表!B104,"")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IF([6]回答表!X44="●","●","")</f>
        <v/>
      </c>
      <c r="O62" s="99"/>
      <c r="P62" s="99"/>
      <c r="Q62" s="100"/>
      <c r="R62" s="38"/>
      <c r="S62" s="38"/>
      <c r="T62" s="38"/>
      <c r="U62" s="107" t="str">
        <f>IF([6]回答表!X44="●",[6]回答表!B115,IF([6]回答表!AA44="●",[6]回答表!B127,""))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IF([6]回答表!X44="●",[6]回答表!S121,IF([6]回答表!AA44="●",[6]回答表!S133,""))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IF([6]回答表!X44="●",[6]回答表!J121,IF([6]回答表!AA44="●",[6]回答表!J133,""))</f>
        <v/>
      </c>
      <c r="AN65" s="120"/>
      <c r="AO65" s="120"/>
      <c r="AP65" s="120"/>
      <c r="AQ65" s="120"/>
      <c r="AR65" s="120"/>
      <c r="AS65" s="120"/>
      <c r="AT65" s="121"/>
      <c r="AU65" s="119" t="str">
        <f>IF([6]回答表!X44="●",[6]回答表!J122,IF([6]回答表!AA44="●",[6]回答表!J134,""))</f>
        <v/>
      </c>
      <c r="AV65" s="120"/>
      <c r="AW65" s="120"/>
      <c r="AX65" s="120"/>
      <c r="AY65" s="120"/>
      <c r="AZ65" s="120"/>
      <c r="BA65" s="120"/>
      <c r="BB65" s="121"/>
      <c r="BC65" s="39"/>
      <c r="BD65" s="34"/>
      <c r="BE65" s="34"/>
      <c r="BF65" s="83" t="str">
        <f>IF([6]回答表!X44="●",[6]回答表!V121,IF([6]回答表!AA44="●",[6]回答表!V133,""))</f>
        <v/>
      </c>
      <c r="BG65" s="84"/>
      <c r="BH65" s="84"/>
      <c r="BI65" s="84"/>
      <c r="BJ65" s="83" t="str">
        <f>IF([6]回答表!X44="●",[6]回答表!V122,IF([6]回答表!AA44="●",[6]回答表!V134,""))</f>
        <v/>
      </c>
      <c r="BK65" s="84"/>
      <c r="BL65" s="84"/>
      <c r="BM65" s="84"/>
      <c r="BN65" s="83" t="str">
        <f>IF([6]回答表!X44="●",[6]回答表!V123,IF([6]回答表!AA44="●",[6]回答表!V135,""))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IF([6]回答表!AA44="●","●","")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IF([6]回答表!AD44="●","●","")</f>
        <v/>
      </c>
      <c r="O74" s="99"/>
      <c r="P74" s="99"/>
      <c r="Q74" s="100"/>
      <c r="R74" s="38"/>
      <c r="S74" s="38"/>
      <c r="T74" s="38"/>
      <c r="U74" s="107" t="str">
        <f>IF([6]回答表!AD44="●",[6]回答表!B140,"")</f>
        <v/>
      </c>
      <c r="V74" s="108"/>
      <c r="W74" s="108"/>
      <c r="X74" s="108"/>
      <c r="Y74" s="108"/>
      <c r="Z74" s="108"/>
      <c r="AA74" s="108"/>
      <c r="AB74" s="108"/>
      <c r="AC74" s="108"/>
      <c r="AD74" s="108"/>
      <c r="AE74" s="108"/>
      <c r="AF74" s="108"/>
      <c r="AG74" s="108"/>
      <c r="AH74" s="108"/>
      <c r="AI74" s="108"/>
      <c r="AJ74" s="109"/>
      <c r="AK74" s="55"/>
      <c r="AL74" s="55"/>
      <c r="AM74" s="107" t="str">
        <f>IF([6]回答表!AD44="●",[6]回答表!B146,"")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IF([6]回答表!F17="水道事業",IF([6]回答表!X45="●","●",""),"")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IF([6]回答表!F17="水道事業",IF([6]回答表!X45="●",[6]回答表!B158,IF([6]回答表!AA45="●",[6]回答表!B223,"")),"")</f>
        <v/>
      </c>
      <c r="AN86" s="212"/>
      <c r="AO86" s="212"/>
      <c r="AP86" s="212"/>
      <c r="AQ86" s="212"/>
      <c r="AR86" s="212"/>
      <c r="AS86" s="212"/>
      <c r="AT86" s="212"/>
      <c r="AU86" s="212"/>
      <c r="AV86" s="212"/>
      <c r="AW86" s="212"/>
      <c r="AX86" s="212"/>
      <c r="AY86" s="212"/>
      <c r="AZ86" s="212"/>
      <c r="BA86" s="212"/>
      <c r="BB86" s="212"/>
      <c r="BC86" s="213"/>
      <c r="BD86" s="34"/>
      <c r="BE86" s="34"/>
      <c r="BF86" s="116" t="str">
        <f>IF([6]回答表!F17="水道事業",IF([6]回答表!X45="●",[6]回答表!B212,IF([6]回答表!AA45="●",[6]回答表!B278,"")),"")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IF([6]回答表!F17="水道事業",IF([6]回答表!X45="●",[6]回答表!J166,IF([6]回答表!AA45="●",[6]回答表!J231,"")),"")</f>
        <v/>
      </c>
      <c r="V88" s="120"/>
      <c r="W88" s="120"/>
      <c r="X88" s="120"/>
      <c r="Y88" s="120"/>
      <c r="Z88" s="120"/>
      <c r="AA88" s="120"/>
      <c r="AB88" s="121"/>
      <c r="AC88" s="119" t="str">
        <f>IF([6]回答表!F17="水道事業",IF([6]回答表!X45="●",[6]回答表!J173,IF([6]回答表!AA45="●",[6]回答表!J238,"")),"")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IF([6]回答表!F17="水道事業",IF([6]回答表!X45="●",[6]回答表!E212,IF([6]回答表!AA45="●",[6]回答表!E278,"")),"")</f>
        <v/>
      </c>
      <c r="BG89" s="84"/>
      <c r="BH89" s="84"/>
      <c r="BI89" s="84"/>
      <c r="BJ89" s="83" t="str">
        <f>IF([6]回答表!F17="水道事業",IF([6]回答表!X45="●",[6]回答表!E213,IF([6]回答表!AA45="●",[6]回答表!E279,"")),"")</f>
        <v/>
      </c>
      <c r="BK89" s="84"/>
      <c r="BL89" s="84"/>
      <c r="BM89" s="84"/>
      <c r="BN89" s="83" t="str">
        <f>IF([6]回答表!F17="水道事業",IF([6]回答表!X45="●",[6]回答表!E214,IF([6]回答表!AA45="●",[6]回答表!E280,"")),"")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IF([6]回答表!F17="水道事業",IF([6]回答表!AA45="●","●",""),"")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IF([6]回答表!F17="水道事業",IF([6]回答表!X45="●",[6]回答表!J176,IF([6]回答表!AA45="●",[6]回答表!J241,"")),"")</f>
        <v/>
      </c>
      <c r="V93" s="120"/>
      <c r="W93" s="120"/>
      <c r="X93" s="120"/>
      <c r="Y93" s="120"/>
      <c r="Z93" s="120"/>
      <c r="AA93" s="120"/>
      <c r="AB93" s="121"/>
      <c r="AC93" s="119" t="str">
        <f>IF([6]回答表!F17="水道事業",IF([6]回答表!X45="●",[6]回答表!J180,IF([6]回答表!AA45="●",[6]回答表!J245,"")),"")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IF([6]回答表!F17="水道事業",IF([6]回答表!AD45="●","●",""),"")</f>
        <v/>
      </c>
      <c r="O98" s="99"/>
      <c r="P98" s="99"/>
      <c r="Q98" s="100"/>
      <c r="R98" s="38"/>
      <c r="S98" s="38"/>
      <c r="T98" s="38"/>
      <c r="U98" s="107" t="str">
        <f>IF([6]回答表!F17="水道事業",IF([6]回答表!AD45="●",[6]回答表!B289,""),"")</f>
        <v/>
      </c>
      <c r="V98" s="108"/>
      <c r="W98" s="108"/>
      <c r="X98" s="108"/>
      <c r="Y98" s="108"/>
      <c r="Z98" s="108"/>
      <c r="AA98" s="108"/>
      <c r="AB98" s="108"/>
      <c r="AC98" s="108"/>
      <c r="AD98" s="108"/>
      <c r="AE98" s="108"/>
      <c r="AF98" s="108"/>
      <c r="AG98" s="108"/>
      <c r="AH98" s="108"/>
      <c r="AI98" s="108"/>
      <c r="AJ98" s="109"/>
      <c r="AK98" s="55"/>
      <c r="AL98" s="55"/>
      <c r="AM98" s="107" t="str">
        <f>IF([6]回答表!F17="水道事業",IF([6]回答表!AD45="●",[6]回答表!B295,""),"")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IF([6]回答表!F17="簡易水道事業",IF([6]回答表!X45="●",[6]回答表!B158,IF([6]回答表!AA45="●",[6]回答表!B223,"")),"")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IF([6]回答表!F17="簡易水道事業",IF([6]回答表!X45="●",[6]回答表!B212,IF([6]回答表!AA45="●",[6]回答表!B278,"")),"")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IF([6]回答表!F17="簡易水道事業",IF([6]回答表!X45="●","●",""),"")</f>
        <v/>
      </c>
      <c r="O112" s="99"/>
      <c r="P112" s="99"/>
      <c r="Q112" s="100"/>
      <c r="R112" s="38"/>
      <c r="S112" s="38"/>
      <c r="T112" s="38"/>
      <c r="U112" s="119" t="str">
        <f>IF([6]回答表!F17="簡易水道事業",IF([6]回答表!X45="●",[6]回答表!Y185,IF([6]回答表!AA45="●",[6]回答表!Y251,"")),"")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IF([6]回答表!F17="簡易水道事業",IF([6]回答表!X45="●",[6]回答表!E212,IF([6]回答表!AA45="●",[6]回答表!E278,"")),"")</f>
        <v/>
      </c>
      <c r="BG113" s="84"/>
      <c r="BH113" s="84"/>
      <c r="BI113" s="84"/>
      <c r="BJ113" s="83" t="str">
        <f>IF([6]回答表!F17="簡易水道事業",IF([6]回答表!X45="●",[6]回答表!E213,IF([6]回答表!AA45="●",[6]回答表!E279,"")),"")</f>
        <v/>
      </c>
      <c r="BK113" s="84"/>
      <c r="BL113" s="84"/>
      <c r="BM113" s="84"/>
      <c r="BN113" s="83" t="str">
        <f>IF([6]回答表!F17="簡易水道事業",IF([6]回答表!X45="●",[6]回答表!E214,IF([6]回答表!AA45="●",[6]回答表!E280,"")),"")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IF([6]回答表!F17="簡易水道事業",IF([6]回答表!X45="●",[6]回答表!Y186,IF([6]回答表!AA45="●",[6]回答表!Y252,"")),"")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IF([6]回答表!F17="簡易水道事業",IF([6]回答表!AA45="●","●",""),"")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IF([6]回答表!F17="簡易水道事業",IF([6]回答表!X45="●",[6]回答表!Y187,IF([6]回答表!AA45="●",[6]回答表!Y253,"")),"")</f>
        <v/>
      </c>
      <c r="V122" s="120"/>
      <c r="W122" s="120"/>
      <c r="X122" s="120"/>
      <c r="Y122" s="120"/>
      <c r="Z122" s="120"/>
      <c r="AA122" s="120"/>
      <c r="AB122" s="120"/>
      <c r="AC122" s="120"/>
      <c r="AD122" s="120"/>
      <c r="AE122" s="120"/>
      <c r="AF122" s="120"/>
      <c r="AG122" s="120"/>
      <c r="AH122" s="120"/>
      <c r="AI122" s="120"/>
      <c r="AJ122" s="121"/>
      <c r="AK122" s="18"/>
      <c r="AL122" s="18"/>
      <c r="AM122" s="228" t="str">
        <f>IF([6]回答表!F17="簡易水道事業",IF([6]回答表!X45="●",[6]回答表!Y189,IF([6]回答表!AA45="●",[6]回答表!Y255,"")),"")</f>
        <v/>
      </c>
      <c r="AN122" s="228"/>
      <c r="AO122" s="228"/>
      <c r="AP122" s="228"/>
      <c r="AQ122" s="228"/>
      <c r="AR122" s="228"/>
      <c r="AS122" s="228" t="str">
        <f>IF([6]回答表!F17="簡易水道事業",IF([6]回答表!X45="●",[6]回答表!Y190,IF([6]回答表!AA45="●",[6]回答表!Y256,"")),"")</f>
        <v/>
      </c>
      <c r="AT122" s="228"/>
      <c r="AU122" s="228"/>
      <c r="AV122" s="228"/>
      <c r="AW122" s="228"/>
      <c r="AX122" s="228"/>
      <c r="AY122" s="228" t="str">
        <f>IF([6]回答表!F17="簡易水道事業",IF([6]回答表!X45="●",[6]回答表!Y191,IF([6]回答表!AA45="●",[6]回答表!Y257,"")),"")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IF([6]回答表!F17="簡易水道事業",IF([6]回答表!AD45="●","●",""),"")</f>
        <v/>
      </c>
      <c r="O127" s="99"/>
      <c r="P127" s="99"/>
      <c r="Q127" s="100"/>
      <c r="R127" s="38"/>
      <c r="S127" s="38"/>
      <c r="T127" s="38"/>
      <c r="U127" s="107" t="str">
        <f>IF([6]回答表!F17="簡易水道事業",IF([6]回答表!AD45="●",[6]回答表!B289,""),"")</f>
        <v/>
      </c>
      <c r="V127" s="108"/>
      <c r="W127" s="108"/>
      <c r="X127" s="108"/>
      <c r="Y127" s="108"/>
      <c r="Z127" s="108"/>
      <c r="AA127" s="108"/>
      <c r="AB127" s="108"/>
      <c r="AC127" s="108"/>
      <c r="AD127" s="108"/>
      <c r="AE127" s="108"/>
      <c r="AF127" s="108"/>
      <c r="AG127" s="108"/>
      <c r="AH127" s="108"/>
      <c r="AI127" s="108"/>
      <c r="AJ127" s="109"/>
      <c r="AK127" s="55"/>
      <c r="AL127" s="55"/>
      <c r="AM127" s="107" t="str">
        <f>IF([6]回答表!F17="簡易水道事業",IF([6]回答表!AD45="●",[6]回答表!B295,""),"")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IF([6]回答表!F17="下水道事業",IF([6]回答表!X45="●","●",""),"")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IF([6]回答表!F17="下水道事業",IF([6]回答表!X45="●",[6]回答表!B158,IF([6]回答表!AA45="●",[6]回答表!B223,"")),"")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IF([6]回答表!F17="下水道事業",IF([6]回答表!X45="●",[6]回答表!B212,IF([6]回答表!AA45="●",[6]回答表!B278,"")),"")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IF([6]回答表!F17="下水道事業",IF([6]回答表!X45="●",[6]回答表!Y193,IF([6]回答表!AA45="●",[6]回答表!Y259,"")),"")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IF([6]回答表!F17="下水道事業",IF([6]回答表!X45="●",[6]回答表!E212,IF([6]回答表!AA45="●",[6]回答表!E278,"")),"")</f>
        <v/>
      </c>
      <c r="BG142" s="84"/>
      <c r="BH142" s="84"/>
      <c r="BI142" s="84"/>
      <c r="BJ142" s="83" t="str">
        <f>IF([6]回答表!F17="下水道事業",IF([6]回答表!X45="●",[6]回答表!E213,IF([6]回答表!AA45="●",[6]回答表!E279,"")),"")</f>
        <v/>
      </c>
      <c r="BK142" s="84"/>
      <c r="BL142" s="84"/>
      <c r="BM142" s="84"/>
      <c r="BN142" s="83" t="str">
        <f>IF([6]回答表!F17="下水道事業",IF([6]回答表!X45="●",[6]回答表!E214,IF([6]回答表!AA45="●",[6]回答表!E280,"")),"")</f>
        <v/>
      </c>
      <c r="BO142" s="84"/>
      <c r="BP142" s="84"/>
      <c r="BQ142" s="87"/>
      <c r="BR142" s="37"/>
      <c r="BX142" s="211" t="str">
        <f>IF([6]回答表!AQ20="下水道事業",IF([6]回答表!BI48="○",[6]回答表!AM161,IF([6]回答表!BL48="○",[6]回答表!AM226,"")),"")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IF([6]回答表!F17="下水道事業",IF([6]回答表!X45="●",[6]回答表!Y195,IF([6]回答表!AA45="●",[6]回答表!Y261,"")),"")</f>
        <v/>
      </c>
      <c r="V147" s="120"/>
      <c r="W147" s="120"/>
      <c r="X147" s="120"/>
      <c r="Y147" s="120"/>
      <c r="Z147" s="120"/>
      <c r="AA147" s="120"/>
      <c r="AB147" s="121"/>
      <c r="AC147" s="119" t="str">
        <f>IF([6]回答表!F17="下水道事業",IF([6]回答表!X45="●",[6]回答表!Y196,IF([6]回答表!AA45="●",[6]回答表!Y262,"")),"")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IF([6]回答表!F17="下水道事業",IF([6]回答表!X45="●",[6]回答表!Y198,IF([6]回答表!AA45="●",[6]回答表!Y264,"")),"")</f>
        <v/>
      </c>
      <c r="V153" s="120"/>
      <c r="W153" s="120"/>
      <c r="X153" s="120"/>
      <c r="Y153" s="120"/>
      <c r="Z153" s="120"/>
      <c r="AA153" s="120"/>
      <c r="AB153" s="121"/>
      <c r="AC153" s="119" t="str">
        <f>IF([6]回答表!F17="下水道事業",IF([6]回答表!X45="●",[6]回答表!Y199,IF([6]回答表!AA45="●",[6]回答表!Y265,"")),"")</f>
        <v/>
      </c>
      <c r="AD153" s="120"/>
      <c r="AE153" s="120"/>
      <c r="AF153" s="120"/>
      <c r="AG153" s="120"/>
      <c r="AH153" s="120"/>
      <c r="AI153" s="120"/>
      <c r="AJ153" s="121"/>
      <c r="AK153" s="119" t="str">
        <f>IF([6]回答表!F17="下水道事業",IF([6]回答表!X45="●",[6]回答表!Y200,IF([6]回答表!AA45="●",[6]回答表!Y266,"")),"")</f>
        <v/>
      </c>
      <c r="AL153" s="120"/>
      <c r="AM153" s="120"/>
      <c r="AN153" s="120"/>
      <c r="AO153" s="120"/>
      <c r="AP153" s="120"/>
      <c r="AQ153" s="120"/>
      <c r="AR153" s="121"/>
      <c r="AS153" s="119" t="str">
        <f>IF([6]回答表!F17="下水道事業",IF([6]回答表!X45="●",[6]回答表!Y201,IF([6]回答表!AA45="●",[6]回答表!Y267,"")),"")</f>
        <v/>
      </c>
      <c r="AT153" s="120"/>
      <c r="AU153" s="120"/>
      <c r="AV153" s="120"/>
      <c r="AW153" s="120"/>
      <c r="AX153" s="120"/>
      <c r="AY153" s="120"/>
      <c r="AZ153" s="121"/>
      <c r="BA153" s="119" t="str">
        <f>IF([6]回答表!F17="下水道事業",IF([6]回答表!X45="●",[6]回答表!Y202,IF([6]回答表!AA45="●",[6]回答表!Y268,"")),"")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IF([6]回答表!F17="下水道事業",IF([6]回答表!AA45="●","●",""),"")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IF([6]回答表!F17="下水道事業",IF([6]回答表!X45="●",[6]回答表!Y207,IF([6]回答表!AA45="●",[6]回答表!Y273,"")),"")</f>
        <v/>
      </c>
      <c r="V159" s="120"/>
      <c r="W159" s="120"/>
      <c r="X159" s="120"/>
      <c r="Y159" s="120"/>
      <c r="Z159" s="120"/>
      <c r="AA159" s="120"/>
      <c r="AB159" s="121"/>
      <c r="AC159" s="119" t="str">
        <f>IF([6]回答表!F17="下水道事業",IF([6]回答表!X45="●",[6]回答表!Y208,IF([6]回答表!AA45="●",[6]回答表!Y274,"")),"")</f>
        <v/>
      </c>
      <c r="AD159" s="120"/>
      <c r="AE159" s="120"/>
      <c r="AF159" s="120"/>
      <c r="AG159" s="120"/>
      <c r="AH159" s="120"/>
      <c r="AI159" s="120"/>
      <c r="AJ159" s="121"/>
      <c r="AK159" s="119" t="str">
        <f>IF([6]回答表!F17="下水道事業",IF([6]回答表!X45="●",[6]回答表!Y209,IF([6]回答表!AA45="●",[6]回答表!Y275,"")),"")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IF([6]回答表!F17="下水道事業",IF([6]回答表!AD45="●","●",""),"")</f>
        <v/>
      </c>
      <c r="O164" s="99"/>
      <c r="P164" s="99"/>
      <c r="Q164" s="100"/>
      <c r="R164" s="38"/>
      <c r="S164" s="38"/>
      <c r="T164" s="38"/>
      <c r="U164" s="107" t="str">
        <f>IF([6]回答表!F17="下水道事業",IF([6]回答表!AD45="●",[6]回答表!B289,""),"")</f>
        <v/>
      </c>
      <c r="V164" s="108"/>
      <c r="W164" s="108"/>
      <c r="X164" s="108"/>
      <c r="Y164" s="108"/>
      <c r="Z164" s="108"/>
      <c r="AA164" s="108"/>
      <c r="AB164" s="108"/>
      <c r="AC164" s="108"/>
      <c r="AD164" s="108"/>
      <c r="AE164" s="108"/>
      <c r="AF164" s="108"/>
      <c r="AG164" s="108"/>
      <c r="AH164" s="108"/>
      <c r="AI164" s="108"/>
      <c r="AJ164" s="109"/>
      <c r="AK164" s="55"/>
      <c r="AL164" s="55"/>
      <c r="AM164" s="107" t="str">
        <f>IF([6]回答表!F17="下水道事業",IF([6]回答表!AD45="●",[6]回答表!B295,""),"")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IF([6]回答表!BD17="●",IF([6]回答表!X45="●","●",""),"")</f>
        <v/>
      </c>
      <c r="O176" s="99"/>
      <c r="P176" s="99"/>
      <c r="Q176" s="100"/>
      <c r="R176" s="38"/>
      <c r="S176" s="38"/>
      <c r="T176" s="38"/>
      <c r="U176" s="107" t="str">
        <f>IF([6]回答表!BD17="●",IF([6]回答表!X45="●",[6]回答表!B158,IF([6]回答表!AA45="●",[6]回答表!B223,"")),"")</f>
        <v/>
      </c>
      <c r="V176" s="108"/>
      <c r="W176" s="108"/>
      <c r="X176" s="108"/>
      <c r="Y176" s="108"/>
      <c r="Z176" s="108"/>
      <c r="AA176" s="108"/>
      <c r="AB176" s="108"/>
      <c r="AC176" s="108"/>
      <c r="AD176" s="108"/>
      <c r="AE176" s="108"/>
      <c r="AF176" s="108"/>
      <c r="AG176" s="108"/>
      <c r="AH176" s="108"/>
      <c r="AI176" s="108"/>
      <c r="AJ176" s="109"/>
      <c r="AK176" s="49"/>
      <c r="AL176" s="49"/>
      <c r="AM176" s="116" t="str">
        <f>IF([6]回答表!BD17="●",IF([6]回答表!X45="●",[6]回答表!B212,IF([6]回答表!AA45="●",[6]回答表!B278,"")),"")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IF([6]回答表!BD17="●",IF([6]回答表!X45="●",[6]回答表!E212,IF([6]回答表!AA45="●",[6]回答表!E278,"")),"")</f>
        <v/>
      </c>
      <c r="AN179" s="84"/>
      <c r="AO179" s="84"/>
      <c r="AP179" s="84"/>
      <c r="AQ179" s="83" t="str">
        <f>IF([6]回答表!BD17="●",IF([6]回答表!X45="●",[6]回答表!E213,IF([6]回答表!AA45="●",[6]回答表!E279,"")),"")</f>
        <v/>
      </c>
      <c r="AR179" s="84"/>
      <c r="AS179" s="84"/>
      <c r="AT179" s="84"/>
      <c r="AU179" s="83" t="str">
        <f>IF([6]回答表!BD17="●",IF([6]回答表!X45="●",[6]回答表!E214,IF([6]回答表!AA45="●",[6]回答表!E280,"")),"")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IF([6]回答表!BD17="●",IF([6]回答表!AA45="●","●",""),"")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IF([6]回答表!BD17="●",IF([6]回答表!AD45="●","●",""),"")</f>
        <v/>
      </c>
      <c r="O188" s="99"/>
      <c r="P188" s="99"/>
      <c r="Q188" s="100"/>
      <c r="R188" s="38"/>
      <c r="S188" s="38"/>
      <c r="T188" s="38"/>
      <c r="U188" s="107" t="str">
        <f>IF([6]回答表!BD17="●",IF([6]回答表!AD45="●",[6]回答表!B289,""),"")</f>
        <v/>
      </c>
      <c r="V188" s="108"/>
      <c r="W188" s="108"/>
      <c r="X188" s="108"/>
      <c r="Y188" s="108"/>
      <c r="Z188" s="108"/>
      <c r="AA188" s="108"/>
      <c r="AB188" s="108"/>
      <c r="AC188" s="108"/>
      <c r="AD188" s="108"/>
      <c r="AE188" s="108"/>
      <c r="AF188" s="108"/>
      <c r="AG188" s="108"/>
      <c r="AH188" s="108"/>
      <c r="AI188" s="108"/>
      <c r="AJ188" s="109"/>
      <c r="AK188" s="55"/>
      <c r="AL188" s="55"/>
      <c r="AM188" s="107" t="str">
        <f>IF([6]回答表!BD17="●",IF([6]回答表!AD45="●",[6]回答表!B295,""),"")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IF([6]回答表!X46="●","●","")</f>
        <v/>
      </c>
      <c r="O200" s="99"/>
      <c r="P200" s="99"/>
      <c r="Q200" s="100"/>
      <c r="R200" s="38"/>
      <c r="S200" s="38"/>
      <c r="T200" s="38"/>
      <c r="U200" s="107" t="str">
        <f>IF([6]回答表!X46="●",[6]回答表!B307,IF([6]回答表!AA46="●",[6]回答表!B324,""))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IF([6]回答表!X46="●",[6]回答表!U313,IF([6]回答表!AA46="●",[6]回答表!U330,""))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IF([6]回答表!X46="●",[6]回答表!G313,IF([6]回答表!AA46="●",[6]回答表!G330,""))</f>
        <v/>
      </c>
      <c r="AN203" s="120"/>
      <c r="AO203" s="120"/>
      <c r="AP203" s="120"/>
      <c r="AQ203" s="120"/>
      <c r="AR203" s="120"/>
      <c r="AS203" s="120"/>
      <c r="AT203" s="121"/>
      <c r="AU203" s="119" t="str">
        <f>IF([6]回答表!X46="●",[6]回答表!G314,IF([6]回答表!AA46="●",[6]回答表!G331,""))</f>
        <v/>
      </c>
      <c r="AV203" s="120"/>
      <c r="AW203" s="120"/>
      <c r="AX203" s="120"/>
      <c r="AY203" s="120"/>
      <c r="AZ203" s="120"/>
      <c r="BA203" s="120"/>
      <c r="BB203" s="121"/>
      <c r="BC203" s="39"/>
      <c r="BD203" s="34"/>
      <c r="BE203" s="34"/>
      <c r="BF203" s="83" t="str">
        <f>IF([6]回答表!X46="●",[6]回答表!X313,IF([6]回答表!AA46="●",[6]回答表!X330,""))</f>
        <v/>
      </c>
      <c r="BG203" s="84"/>
      <c r="BH203" s="84"/>
      <c r="BI203" s="84"/>
      <c r="BJ203" s="83" t="str">
        <f>IF([6]回答表!X46="●",[6]回答表!X314,IF([6]回答表!AA46="●",[6]回答表!X331,""))</f>
        <v/>
      </c>
      <c r="BK203" s="84"/>
      <c r="BL203" s="84"/>
      <c r="BM203" s="87"/>
      <c r="BN203" s="83" t="str">
        <f>IF([6]回答表!X46="●",[6]回答表!X315,IF([6]回答表!AA46="●",[6]回答表!X332,""))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IF([6]回答表!AA46="●","●","")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IF([6]回答表!AD46="●","●","")</f>
        <v/>
      </c>
      <c r="O212" s="99"/>
      <c r="P212" s="99"/>
      <c r="Q212" s="100"/>
      <c r="R212" s="38"/>
      <c r="S212" s="38"/>
      <c r="T212" s="38"/>
      <c r="U212" s="107" t="str">
        <f>IF([6]回答表!AD46="●",[6]回答表!B337,"")</f>
        <v/>
      </c>
      <c r="V212" s="108"/>
      <c r="W212" s="108"/>
      <c r="X212" s="108"/>
      <c r="Y212" s="108"/>
      <c r="Z212" s="108"/>
      <c r="AA212" s="108"/>
      <c r="AB212" s="108"/>
      <c r="AC212" s="108"/>
      <c r="AD212" s="108"/>
      <c r="AE212" s="108"/>
      <c r="AF212" s="108"/>
      <c r="AG212" s="108"/>
      <c r="AH212" s="108"/>
      <c r="AI212" s="108"/>
      <c r="AJ212" s="109"/>
      <c r="AK212" s="62"/>
      <c r="AL212" s="62"/>
      <c r="AM212" s="107" t="str">
        <f>IF([6]回答表!AD46="●",[6]回答表!B343,"")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IF([6]回答表!X47="●","●","")</f>
        <v/>
      </c>
      <c r="O224" s="99"/>
      <c r="P224" s="99"/>
      <c r="Q224" s="100"/>
      <c r="R224" s="38"/>
      <c r="S224" s="38"/>
      <c r="T224" s="38"/>
      <c r="U224" s="107" t="str">
        <f>IF([6]回答表!X47="●",[6]回答表!B356,IF([6]回答表!AA47="●",[6]回答表!B379,""))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IF([6]回答表!X47="●",[6]回答表!B362,"")</f>
        <v/>
      </c>
      <c r="AO224" s="182"/>
      <c r="AP224" s="182"/>
      <c r="AQ224" s="182"/>
      <c r="AR224" s="182"/>
      <c r="AS224" s="182"/>
      <c r="AT224" s="182"/>
      <c r="AU224" s="182"/>
      <c r="AV224" s="182"/>
      <c r="AW224" s="182"/>
      <c r="AX224" s="182"/>
      <c r="AY224" s="182"/>
      <c r="AZ224" s="182"/>
      <c r="BA224" s="182"/>
      <c r="BB224" s="183"/>
      <c r="BC224" s="39"/>
      <c r="BD224" s="34"/>
      <c r="BE224" s="34"/>
      <c r="BF224" s="116" t="str">
        <f>IF([6]回答表!X47="●",[6]回答表!B368,IF([6]回答表!AA47="●",[6]回答表!B385,""))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IF([6]回答表!X47="●",[6]回答表!E368,IF([6]回答表!AA47="●",[6]回答表!E385,""))</f>
        <v/>
      </c>
      <c r="BG227" s="84"/>
      <c r="BH227" s="84"/>
      <c r="BI227" s="84"/>
      <c r="BJ227" s="83" t="str">
        <f>IF([6]回答表!X47="●",[6]回答表!E369,IF([6]回答表!AA47="●",[6]回答表!E386,""))</f>
        <v/>
      </c>
      <c r="BK227" s="84"/>
      <c r="BL227" s="84"/>
      <c r="BM227" s="87"/>
      <c r="BN227" s="83" t="str">
        <f>IF([6]回答表!X47="●",[6]回答表!E370,IF([6]回答表!AA47="●",[6]回答表!E387,""))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IF([6]回答表!AA47="●","●","")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IF([6]回答表!AD47="●","●","")</f>
        <v/>
      </c>
      <c r="O236" s="99"/>
      <c r="P236" s="99"/>
      <c r="Q236" s="100"/>
      <c r="R236" s="38"/>
      <c r="S236" s="38"/>
      <c r="T236" s="38"/>
      <c r="U236" s="107" t="str">
        <f>IF([6]回答表!AD47="●",[6]回答表!B392,"")</f>
        <v/>
      </c>
      <c r="V236" s="108"/>
      <c r="W236" s="108"/>
      <c r="X236" s="108"/>
      <c r="Y236" s="108"/>
      <c r="Z236" s="108"/>
      <c r="AA236" s="108"/>
      <c r="AB236" s="108"/>
      <c r="AC236" s="108"/>
      <c r="AD236" s="108"/>
      <c r="AE236" s="108"/>
      <c r="AF236" s="108"/>
      <c r="AG236" s="108"/>
      <c r="AH236" s="108"/>
      <c r="AI236" s="108"/>
      <c r="AJ236" s="109"/>
      <c r="AK236" s="62"/>
      <c r="AL236" s="62"/>
      <c r="AM236" s="107" t="str">
        <f>IF([6]回答表!AD47="●",[6]回答表!B398,"")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IF([6]回答表!X48="●","●","")</f>
        <v/>
      </c>
      <c r="O248" s="99"/>
      <c r="P248" s="99"/>
      <c r="Q248" s="100"/>
      <c r="R248" s="38"/>
      <c r="S248" s="38"/>
      <c r="T248" s="38"/>
      <c r="U248" s="107" t="str">
        <f>IF([6]回答表!X48="●",[6]回答表!B411,IF([6]回答表!AA48="●",[6]回答表!B425,""))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IF([6]回答表!X48="●",[6]回答表!BC418,IF([6]回答表!AA48="●",[6]回答表!BC432,""))</f>
        <v/>
      </c>
      <c r="AR248" s="151"/>
      <c r="AS248" s="151"/>
      <c r="AT248" s="151"/>
      <c r="AU248" s="173" t="s">
        <v>73</v>
      </c>
      <c r="AV248" s="174"/>
      <c r="AW248" s="174"/>
      <c r="AX248" s="175"/>
      <c r="AY248" s="151" t="str">
        <f>IF([6]回答表!X48="●",[6]回答表!BC423,IF([6]回答表!AA48="●",[6]回答表!BC437,""))</f>
        <v/>
      </c>
      <c r="AZ248" s="151"/>
      <c r="BA248" s="151"/>
      <c r="BB248" s="151"/>
      <c r="BC248" s="39"/>
      <c r="BD248" s="34"/>
      <c r="BE248" s="34"/>
      <c r="BF248" s="116" t="str">
        <f>IF([6]回答表!X48="●",[6]回答表!S417,IF([6]回答表!AA48="●",[6]回答表!S431,""))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IF([6]回答表!X48="●",[6]回答表!BC419,IF([6]回答表!AA48="●",[6]回答表!BC433,""))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IF([6]回答表!X48="●",[6]回答表!V417,IF([6]回答表!AA48="●",[6]回答表!V431,""))</f>
        <v/>
      </c>
      <c r="BG251" s="84"/>
      <c r="BH251" s="84"/>
      <c r="BI251" s="84"/>
      <c r="BJ251" s="83" t="str">
        <f>IF([6]回答表!X48="●",[6]回答表!V418,IF([6]回答表!AA48="●",[6]回答表!V432,""))</f>
        <v/>
      </c>
      <c r="BK251" s="84"/>
      <c r="BL251" s="84"/>
      <c r="BM251" s="87"/>
      <c r="BN251" s="83" t="str">
        <f>IF([6]回答表!X48="●",[6]回答表!V419,IF([6]回答表!AA48="●",[6]回答表!V433,""))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IF([6]回答表!X48="●",[6]回答表!BC420,IF([6]回答表!AA48="●",[6]回答表!BC434,""))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IF([6]回答表!X48="●",[6]回答表!BC424,IF([6]回答表!AA48="●",[6]回答表!BC438,""))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IF([6]回答表!AA48="●","●","")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IF([6]回答表!X48="●",[6]回答表!BC421,IF([6]回答表!AA48="●",[6]回答表!BC435,""))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IF([6]回答表!X48="●",[6]回答表!BC422,IF([6]回答表!AA48="●",[6]回答表!BC436,""))</f>
        <v/>
      </c>
      <c r="AR256" s="151"/>
      <c r="AS256" s="151"/>
      <c r="AT256" s="151"/>
      <c r="AU256" s="152" t="s">
        <v>79</v>
      </c>
      <c r="AV256" s="153"/>
      <c r="AW256" s="153"/>
      <c r="AX256" s="154"/>
      <c r="AY256" s="158" t="str">
        <f>IF([6]回答表!X48="●",[6]回答表!BC425,IF([6]回答表!AA48="●",[6]回答表!BC439,""))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IF([6]回答表!AD48="●","●","")</f>
        <v/>
      </c>
      <c r="O260" s="99"/>
      <c r="P260" s="99"/>
      <c r="Q260" s="100"/>
      <c r="R260" s="38"/>
      <c r="S260" s="38"/>
      <c r="T260" s="38"/>
      <c r="U260" s="107" t="str">
        <f>IF([6]回答表!AD48="●",[6]回答表!B439,"")</f>
        <v/>
      </c>
      <c r="V260" s="108"/>
      <c r="W260" s="108"/>
      <c r="X260" s="108"/>
      <c r="Y260" s="108"/>
      <c r="Z260" s="108"/>
      <c r="AA260" s="108"/>
      <c r="AB260" s="108"/>
      <c r="AC260" s="108"/>
      <c r="AD260" s="108"/>
      <c r="AE260" s="108"/>
      <c r="AF260" s="108"/>
      <c r="AG260" s="108"/>
      <c r="AH260" s="108"/>
      <c r="AI260" s="108"/>
      <c r="AJ260" s="109"/>
      <c r="AK260" s="55"/>
      <c r="AL260" s="55"/>
      <c r="AM260" s="107" t="str">
        <f>IF([6]回答表!AD48="●",[6]回答表!B445,"")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IF([6]回答表!X49="●","●","")</f>
        <v/>
      </c>
      <c r="O271" s="99"/>
      <c r="P271" s="99"/>
      <c r="Q271" s="100"/>
      <c r="R271" s="38"/>
      <c r="S271" s="38"/>
      <c r="T271" s="38"/>
      <c r="U271" s="107" t="str">
        <f>IF([6]回答表!X49="●",[6]回答表!B458,IF([6]回答表!AA49="●",[6]回答表!B475,""))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IF([6]回答表!X49="●",[6]回答表!B468,IF([6]回答表!AA49="●",[6]回答表!B485,""))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IF([6]回答表!X49="●",[6]回答表!G464,IF([6]回答表!AA49="●",[6]回答表!G481,""))</f>
        <v/>
      </c>
      <c r="AN273" s="120"/>
      <c r="AO273" s="120"/>
      <c r="AP273" s="120"/>
      <c r="AQ273" s="120"/>
      <c r="AR273" s="120"/>
      <c r="AS273" s="120"/>
      <c r="AT273" s="121"/>
      <c r="AU273" s="119" t="str">
        <f>IF([6]回答表!X49="●",[6]回答表!G465,IF([6]回答表!AA49="●",[6]回答表!G482,""))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IF([6]回答表!X49="●",[6]回答表!E468,IF([6]回答表!AA49="●",[6]回答表!E485,""))</f>
        <v/>
      </c>
      <c r="BG274" s="84"/>
      <c r="BH274" s="84"/>
      <c r="BI274" s="84"/>
      <c r="BJ274" s="83" t="str">
        <f>IF([6]回答表!X49="●",[6]回答表!E469,IF([6]回答表!AA49="●",[6]回答表!E486,""))</f>
        <v/>
      </c>
      <c r="BK274" s="84"/>
      <c r="BL274" s="84"/>
      <c r="BM274" s="87"/>
      <c r="BN274" s="83" t="str">
        <f>IF([6]回答表!X49="●",[6]回答表!E470,IF([6]回答表!AA49="●",[6]回答表!E487,""))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IF([6]回答表!AA49="●","●","")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IF([6]回答表!AD49="●","●","")</f>
        <v/>
      </c>
      <c r="O283" s="99"/>
      <c r="P283" s="99"/>
      <c r="Q283" s="100"/>
      <c r="R283" s="38"/>
      <c r="S283" s="38"/>
      <c r="T283" s="38"/>
      <c r="U283" s="107" t="str">
        <f>IF([6]回答表!AD49="●",[6]回答表!B492,"")</f>
        <v/>
      </c>
      <c r="V283" s="108"/>
      <c r="W283" s="108"/>
      <c r="X283" s="108"/>
      <c r="Y283" s="108"/>
      <c r="Z283" s="108"/>
      <c r="AA283" s="108"/>
      <c r="AB283" s="108"/>
      <c r="AC283" s="108"/>
      <c r="AD283" s="108"/>
      <c r="AE283" s="108"/>
      <c r="AF283" s="108"/>
      <c r="AG283" s="108"/>
      <c r="AH283" s="108"/>
      <c r="AI283" s="108"/>
      <c r="AJ283" s="109"/>
      <c r="AK283" s="49"/>
      <c r="AL283" s="49"/>
      <c r="AM283" s="107" t="str">
        <f>IF([6]回答表!AD49="●",[6]回答表!B498,"")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IF([6]回答表!R50="●",[6]回答表!B511,"")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