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3CE90A90-8F48-4F42-85DA-193DA900D941}" xr6:coauthVersionLast="46" xr6:coauthVersionMax="46" xr10:uidLastSave="{00000000-0000-0000-0000-000000000000}"/>
  <bookViews>
    <workbookView xWindow="10170" yWindow="195" windowWidth="14985" windowHeight="13875" tabRatio="1000" xr2:uid="{CD6C8F7E-9A89-43C1-92E4-1DA11C603E3C}"/>
  </bookViews>
  <sheets>
    <sheet name="水道" sheetId="1" r:id="rId1"/>
    <sheet name="簡易水道" sheetId="2" r:id="rId2"/>
    <sheet name="ガス" sheetId="3" r:id="rId3"/>
    <sheet name="下水道（公共下水道）" sheetId="4" r:id="rId4"/>
    <sheet name="下水道（特定環境保全公共下水道）" sheetId="5" r:id="rId5"/>
    <sheet name="下水道（農業集落排水施設）" sheetId="6" r:id="rId6"/>
    <sheet name="下水道（漁業集落排水施設）" sheetId="7" r:id="rId7"/>
    <sheet name="下水道（小規模集合排水施設）" sheetId="8" r:id="rId8"/>
    <sheet name="下水道（特定地域排水処理施設）" sheetId="9" r:id="rId9"/>
    <sheet name="下水道（簡易排水施設）" sheetId="10" r:id="rId10"/>
    <sheet name="下水道（個別排水処理施設）" sheetId="11" r:id="rId11"/>
    <sheet name="観光" sheetId="12" r:id="rId12"/>
    <sheet name="介護サービス（指定介護老人福祉施設）" sheetId="13" r:id="rId13"/>
    <sheet name="介護サービス（老人デイサービスセンター）" sheetId="14" r:id="rId14"/>
    <sheet name="介護サービス（老人短期入所施設）" sheetId="15" r:id="rId15"/>
    <sheet name="宅地造成" sheetId="16"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xlnm.Print_Area" localSheetId="2">ガス!$A$1:$BS$315</definedName>
    <definedName name="_xlnm.Print_Area" localSheetId="9">'下水道（簡易排水施設）'!$A$1:$BS$315</definedName>
    <definedName name="_xlnm.Print_Area" localSheetId="6">'下水道（漁業集落排水施設）'!$A$1:$BS$315</definedName>
    <definedName name="_xlnm.Print_Area" localSheetId="10">'下水道（個別排水処理施設）'!$A$1:$BS$315</definedName>
    <definedName name="_xlnm.Print_Area" localSheetId="3">'下水道（公共下水道）'!$A$1:$BS$315</definedName>
    <definedName name="_xlnm.Print_Area" localSheetId="7">'下水道（小規模集合排水施設）'!$A$1:$BS$315</definedName>
    <definedName name="_xlnm.Print_Area" localSheetId="4">'下水道（特定環境保全公共下水道）'!$A$1:$BS$315</definedName>
    <definedName name="_xlnm.Print_Area" localSheetId="8">'下水道（特定地域排水処理施設）'!$A$1:$BS$315</definedName>
    <definedName name="_xlnm.Print_Area" localSheetId="5">'下水道（農業集落排水施設）'!$A$1:$BS$315</definedName>
    <definedName name="_xlnm.Print_Area" localSheetId="12">'介護サービス（指定介護老人福祉施設）'!$A$1:$BS$315</definedName>
    <definedName name="_xlnm.Print_Area" localSheetId="13">'介護サービス（老人デイサービスセンター）'!$A$1:$BS$315</definedName>
    <definedName name="_xlnm.Print_Area" localSheetId="14">'介護サービス（老人短期入所施設）'!$A$1:$BS$315</definedName>
    <definedName name="_xlnm.Print_Area" localSheetId="1">簡易水道!$A$1:$BS$315</definedName>
    <definedName name="_xlnm.Print_Area" localSheetId="11">観光!$A$1:$BS$315</definedName>
    <definedName name="_xlnm.Print_Area" localSheetId="0">水道!$A$1:$BS$315</definedName>
    <definedName name="_xlnm.Print_Area" localSheetId="15">宅地造成!$A$1:$BS$315</definedName>
    <definedName name="業種名" localSheetId="2">[3]選択肢!$K$2:$K$19</definedName>
    <definedName name="業種名" localSheetId="9">[10]選択肢!$K$2:$K$19</definedName>
    <definedName name="業種名" localSheetId="6">[7]選択肢!$K$2:$K$19</definedName>
    <definedName name="業種名" localSheetId="10">[11]選択肢!$K$2:$K$19</definedName>
    <definedName name="業種名" localSheetId="3">[4]選択肢!$K$2:$K$19</definedName>
    <definedName name="業種名" localSheetId="7">[8]選択肢!$K$2:$K$19</definedName>
    <definedName name="業種名" localSheetId="4">[5]選択肢!$K$2:$K$19</definedName>
    <definedName name="業種名" localSheetId="8">[9]選択肢!$K$2:$K$19</definedName>
    <definedName name="業種名" localSheetId="5">[6]選択肢!$K$2:$K$19</definedName>
    <definedName name="業種名" localSheetId="12">[13]選択肢!$K$2:$K$19</definedName>
    <definedName name="業種名" localSheetId="13">[14]選択肢!$K$2:$K$19</definedName>
    <definedName name="業種名" localSheetId="14">[15]選択肢!$K$2:$K$19</definedName>
    <definedName name="業種名" localSheetId="1">[2]選択肢!$K$2:$K$19</definedName>
    <definedName name="業種名" localSheetId="11">[12]選択肢!$K$2:$K$19</definedName>
    <definedName name="業種名" localSheetId="15">[16]選択肢!$K$2:$K$19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16" l="1"/>
  <c r="AM283" i="16"/>
  <c r="U283" i="16"/>
  <c r="N283" i="16"/>
  <c r="N277" i="16"/>
  <c r="BN274" i="16"/>
  <c r="BJ274" i="16"/>
  <c r="BF274" i="16"/>
  <c r="AU273" i="16"/>
  <c r="AM273" i="16"/>
  <c r="BF271" i="16"/>
  <c r="U271" i="16"/>
  <c r="N271" i="16"/>
  <c r="AM260" i="16"/>
  <c r="U260" i="16"/>
  <c r="N260" i="16"/>
  <c r="AY256" i="16"/>
  <c r="AQ256" i="16"/>
  <c r="AQ254" i="16"/>
  <c r="N254" i="16"/>
  <c r="AY253" i="16"/>
  <c r="AQ252" i="16"/>
  <c r="BN251" i="16"/>
  <c r="BJ251" i="16"/>
  <c r="BF251" i="16"/>
  <c r="AQ250" i="16"/>
  <c r="BF248" i="16"/>
  <c r="AY248" i="16"/>
  <c r="AQ248" i="16"/>
  <c r="U248" i="16"/>
  <c r="N248" i="16"/>
  <c r="AM236" i="16"/>
  <c r="U236" i="16"/>
  <c r="N236" i="16"/>
  <c r="N230" i="16"/>
  <c r="BN227" i="16"/>
  <c r="BJ227" i="16"/>
  <c r="BF227" i="16"/>
  <c r="BF224" i="16"/>
  <c r="AN224" i="16"/>
  <c r="U224" i="16"/>
  <c r="N224" i="16"/>
  <c r="AM212" i="16"/>
  <c r="U212" i="16"/>
  <c r="N212" i="16"/>
  <c r="N206" i="16"/>
  <c r="BN203" i="16"/>
  <c r="BJ203" i="16"/>
  <c r="BF203" i="16"/>
  <c r="AU203" i="16"/>
  <c r="AM203" i="16"/>
  <c r="BF200" i="16"/>
  <c r="U200" i="16"/>
  <c r="N200" i="16"/>
  <c r="AM188" i="16"/>
  <c r="U188" i="16"/>
  <c r="N188" i="16"/>
  <c r="N182" i="16"/>
  <c r="AU179" i="16"/>
  <c r="AQ179" i="16"/>
  <c r="AM179" i="16"/>
  <c r="AM176" i="16"/>
  <c r="U176" i="16"/>
  <c r="N176" i="16"/>
  <c r="AM164" i="16"/>
  <c r="U164" i="16"/>
  <c r="N164" i="16"/>
  <c r="AK159" i="16"/>
  <c r="AC159" i="16"/>
  <c r="U159" i="16"/>
  <c r="N158" i="16"/>
  <c r="BA153" i="16"/>
  <c r="AS153" i="16"/>
  <c r="AK153" i="16"/>
  <c r="AC153" i="16"/>
  <c r="U153" i="16"/>
  <c r="AC147" i="16"/>
  <c r="U147" i="16"/>
  <c r="BX142" i="16"/>
  <c r="BN142" i="16"/>
  <c r="BJ142" i="16"/>
  <c r="BF142" i="16"/>
  <c r="U141" i="16"/>
  <c r="BF139" i="16"/>
  <c r="AM139" i="16"/>
  <c r="N139" i="16"/>
  <c r="AM127" i="16"/>
  <c r="U127" i="16"/>
  <c r="N127" i="16"/>
  <c r="AY122" i="16"/>
  <c r="AS122" i="16"/>
  <c r="AM122" i="16"/>
  <c r="U122" i="16"/>
  <c r="N119" i="16"/>
  <c r="U117" i="16"/>
  <c r="BN113" i="16"/>
  <c r="BJ113" i="16"/>
  <c r="BF113" i="16"/>
  <c r="U112" i="16"/>
  <c r="N112" i="16"/>
  <c r="BF110" i="16"/>
  <c r="AM110" i="16"/>
  <c r="AM98" i="16"/>
  <c r="U98" i="16"/>
  <c r="N98" i="16"/>
  <c r="AC93" i="16"/>
  <c r="U93" i="16"/>
  <c r="N92" i="16"/>
  <c r="BN89" i="16"/>
  <c r="BJ89" i="16"/>
  <c r="BF89" i="16"/>
  <c r="AC88" i="16"/>
  <c r="U88" i="16"/>
  <c r="BF86" i="16"/>
  <c r="AM86" i="16"/>
  <c r="N86" i="16"/>
  <c r="AM74" i="16"/>
  <c r="U74" i="16"/>
  <c r="N74" i="16"/>
  <c r="N68" i="16"/>
  <c r="BN65" i="16"/>
  <c r="BJ65" i="16"/>
  <c r="BF65" i="16"/>
  <c r="AU65" i="16"/>
  <c r="AM65" i="16"/>
  <c r="BF62" i="16"/>
  <c r="U62" i="16"/>
  <c r="N62" i="16"/>
  <c r="AM51" i="16"/>
  <c r="U51" i="16"/>
  <c r="N51" i="16"/>
  <c r="AM47" i="16"/>
  <c r="AM46" i="16"/>
  <c r="AM45" i="16"/>
  <c r="AM44" i="16"/>
  <c r="N44" i="16"/>
  <c r="AM43" i="16"/>
  <c r="AM42" i="16"/>
  <c r="BN39" i="16"/>
  <c r="BJ39" i="16"/>
  <c r="BF39" i="16"/>
  <c r="AU38" i="16"/>
  <c r="AM38" i="16"/>
  <c r="BF36" i="16"/>
  <c r="U36" i="16"/>
  <c r="N36" i="16"/>
  <c r="BB24" i="16"/>
  <c r="AT24" i="16"/>
  <c r="AM24" i="16"/>
  <c r="AF24" i="16"/>
  <c r="Y24" i="16"/>
  <c r="R24" i="16"/>
  <c r="K24" i="16"/>
  <c r="D24" i="16"/>
  <c r="BG11" i="16"/>
  <c r="AO11" i="16"/>
  <c r="U11" i="16"/>
  <c r="C11" i="16"/>
  <c r="D296" i="15" l="1"/>
  <c r="AM283" i="15"/>
  <c r="U283" i="15"/>
  <c r="N283" i="15"/>
  <c r="N277" i="15"/>
  <c r="BN274" i="15"/>
  <c r="BJ274" i="15"/>
  <c r="BF274" i="15"/>
  <c r="AU273" i="15"/>
  <c r="AM273" i="15"/>
  <c r="BF271" i="15"/>
  <c r="U271" i="15"/>
  <c r="N271" i="15"/>
  <c r="AM260" i="15"/>
  <c r="U260" i="15"/>
  <c r="N260" i="15"/>
  <c r="AY256" i="15"/>
  <c r="AQ256" i="15"/>
  <c r="AQ254" i="15"/>
  <c r="N254" i="15"/>
  <c r="AY253" i="15"/>
  <c r="AQ252" i="15"/>
  <c r="BN251" i="15"/>
  <c r="BJ251" i="15"/>
  <c r="BF251" i="15"/>
  <c r="AQ250" i="15"/>
  <c r="BF248" i="15"/>
  <c r="AY248" i="15"/>
  <c r="AQ248" i="15"/>
  <c r="U248" i="15"/>
  <c r="N248" i="15"/>
  <c r="AM236" i="15"/>
  <c r="U236" i="15"/>
  <c r="N236" i="15"/>
  <c r="N230" i="15"/>
  <c r="BN227" i="15"/>
  <c r="BJ227" i="15"/>
  <c r="BF227" i="15"/>
  <c r="BF224" i="15"/>
  <c r="AN224" i="15"/>
  <c r="U224" i="15"/>
  <c r="N224" i="15"/>
  <c r="AM212" i="15"/>
  <c r="U212" i="15"/>
  <c r="N212" i="15"/>
  <c r="N206" i="15"/>
  <c r="BN203" i="15"/>
  <c r="BJ203" i="15"/>
  <c r="BF203" i="15"/>
  <c r="AU203" i="15"/>
  <c r="AM203" i="15"/>
  <c r="BF200" i="15"/>
  <c r="U200" i="15"/>
  <c r="N200" i="15"/>
  <c r="AM188" i="15"/>
  <c r="U188" i="15"/>
  <c r="N188" i="15"/>
  <c r="N182" i="15"/>
  <c r="AU179" i="15"/>
  <c r="AQ179" i="15"/>
  <c r="AM179" i="15"/>
  <c r="AM176" i="15"/>
  <c r="U176" i="15"/>
  <c r="N176" i="15"/>
  <c r="AM164" i="15"/>
  <c r="U164" i="15"/>
  <c r="N164" i="15"/>
  <c r="AK159" i="15"/>
  <c r="AC159" i="15"/>
  <c r="U159" i="15"/>
  <c r="N158" i="15"/>
  <c r="BA153" i="15"/>
  <c r="AS153" i="15"/>
  <c r="AK153" i="15"/>
  <c r="AC153" i="15"/>
  <c r="U153" i="15"/>
  <c r="AC147" i="15"/>
  <c r="U147" i="15"/>
  <c r="BX142" i="15"/>
  <c r="BN142" i="15"/>
  <c r="BJ142" i="15"/>
  <c r="BF142" i="15"/>
  <c r="U141" i="15"/>
  <c r="BF139" i="15"/>
  <c r="AM139" i="15"/>
  <c r="N139" i="15"/>
  <c r="AM127" i="15"/>
  <c r="U127" i="15"/>
  <c r="N127" i="15"/>
  <c r="AY122" i="15"/>
  <c r="AS122" i="15"/>
  <c r="AM122" i="15"/>
  <c r="U122" i="15"/>
  <c r="N119" i="15"/>
  <c r="U117" i="15"/>
  <c r="BN113" i="15"/>
  <c r="BJ113" i="15"/>
  <c r="BF113" i="15"/>
  <c r="U112" i="15"/>
  <c r="N112" i="15"/>
  <c r="BF110" i="15"/>
  <c r="AM110" i="15"/>
  <c r="AM98" i="15"/>
  <c r="U98" i="15"/>
  <c r="N98" i="15"/>
  <c r="AC93" i="15"/>
  <c r="U93" i="15"/>
  <c r="N92" i="15"/>
  <c r="BN89" i="15"/>
  <c r="BJ89" i="15"/>
  <c r="BF89" i="15"/>
  <c r="AC88" i="15"/>
  <c r="U88" i="15"/>
  <c r="BF86" i="15"/>
  <c r="AM86" i="15"/>
  <c r="N86" i="15"/>
  <c r="AM74" i="15"/>
  <c r="U74" i="15"/>
  <c r="N74" i="15"/>
  <c r="N68" i="15"/>
  <c r="BN65" i="15"/>
  <c r="BJ65" i="15"/>
  <c r="BF65" i="15"/>
  <c r="AU65" i="15"/>
  <c r="AM65" i="15"/>
  <c r="BF62" i="15"/>
  <c r="U62" i="15"/>
  <c r="N62" i="15"/>
  <c r="AM51" i="15"/>
  <c r="U51" i="15"/>
  <c r="N51" i="15"/>
  <c r="AM47" i="15"/>
  <c r="AM46" i="15"/>
  <c r="AM45" i="15"/>
  <c r="AM44" i="15"/>
  <c r="N44" i="15"/>
  <c r="AM43" i="15"/>
  <c r="AM42" i="15"/>
  <c r="BN39" i="15"/>
  <c r="BJ39" i="15"/>
  <c r="BF39" i="15"/>
  <c r="AU38" i="15"/>
  <c r="AM38" i="15"/>
  <c r="BF36" i="15"/>
  <c r="U36" i="15"/>
  <c r="N36" i="15"/>
  <c r="BB24" i="15"/>
  <c r="AT24" i="15"/>
  <c r="AM24" i="15"/>
  <c r="AF24" i="15"/>
  <c r="Y24" i="15"/>
  <c r="R24" i="15"/>
  <c r="K24" i="15"/>
  <c r="D24" i="15"/>
  <c r="BG11" i="15"/>
  <c r="AO11" i="15"/>
  <c r="U11" i="15"/>
  <c r="C11" i="15"/>
  <c r="D296" i="14" l="1"/>
  <c r="AM283" i="14"/>
  <c r="U283" i="14"/>
  <c r="N283" i="14"/>
  <c r="N277" i="14"/>
  <c r="BN274" i="14"/>
  <c r="BJ274" i="14"/>
  <c r="BF274" i="14"/>
  <c r="AU273" i="14"/>
  <c r="AM273" i="14"/>
  <c r="BF271" i="14"/>
  <c r="U271" i="14"/>
  <c r="N271" i="14"/>
  <c r="AM260" i="14"/>
  <c r="U260" i="14"/>
  <c r="N260" i="14"/>
  <c r="AY256" i="14"/>
  <c r="AQ256" i="14"/>
  <c r="AQ254" i="14"/>
  <c r="N254" i="14"/>
  <c r="AY253" i="14"/>
  <c r="AQ252" i="14"/>
  <c r="BN251" i="14"/>
  <c r="BJ251" i="14"/>
  <c r="BF251" i="14"/>
  <c r="AQ250" i="14"/>
  <c r="BF248" i="14"/>
  <c r="AY248" i="14"/>
  <c r="AQ248" i="14"/>
  <c r="U248" i="14"/>
  <c r="N248" i="14"/>
  <c r="AM236" i="14"/>
  <c r="U236" i="14"/>
  <c r="N236" i="14"/>
  <c r="N230" i="14"/>
  <c r="BN227" i="14"/>
  <c r="BJ227" i="14"/>
  <c r="BF227" i="14"/>
  <c r="BF224" i="14"/>
  <c r="AN224" i="14"/>
  <c r="U224" i="14"/>
  <c r="N224" i="14"/>
  <c r="AM212" i="14"/>
  <c r="U212" i="14"/>
  <c r="N212" i="14"/>
  <c r="N206" i="14"/>
  <c r="BN203" i="14"/>
  <c r="BJ203" i="14"/>
  <c r="BF203" i="14"/>
  <c r="AU203" i="14"/>
  <c r="AM203" i="14"/>
  <c r="BF200" i="14"/>
  <c r="U200" i="14"/>
  <c r="N200" i="14"/>
  <c r="AM188" i="14"/>
  <c r="U188" i="14"/>
  <c r="N188" i="14"/>
  <c r="N182" i="14"/>
  <c r="AU179" i="14"/>
  <c r="AQ179" i="14"/>
  <c r="AM179" i="14"/>
  <c r="AM176" i="14"/>
  <c r="U176" i="14"/>
  <c r="N176" i="14"/>
  <c r="AM164" i="14"/>
  <c r="U164" i="14"/>
  <c r="N164" i="14"/>
  <c r="AK159" i="14"/>
  <c r="AC159" i="14"/>
  <c r="U159" i="14"/>
  <c r="N158" i="14"/>
  <c r="BA153" i="14"/>
  <c r="AS153" i="14"/>
  <c r="AK153" i="14"/>
  <c r="AC153" i="14"/>
  <c r="U153" i="14"/>
  <c r="AC147" i="14"/>
  <c r="U147" i="14"/>
  <c r="BX142" i="14"/>
  <c r="BN142" i="14"/>
  <c r="BJ142" i="14"/>
  <c r="BF142" i="14"/>
  <c r="U141" i="14"/>
  <c r="BF139" i="14"/>
  <c r="AM139" i="14"/>
  <c r="N139" i="14"/>
  <c r="AM127" i="14"/>
  <c r="U127" i="14"/>
  <c r="N127" i="14"/>
  <c r="AY122" i="14"/>
  <c r="AS122" i="14"/>
  <c r="AM122" i="14"/>
  <c r="U122" i="14"/>
  <c r="N119" i="14"/>
  <c r="U117" i="14"/>
  <c r="BN113" i="14"/>
  <c r="BJ113" i="14"/>
  <c r="BF113" i="14"/>
  <c r="U112" i="14"/>
  <c r="N112" i="14"/>
  <c r="BF110" i="14"/>
  <c r="AM110" i="14"/>
  <c r="AM98" i="14"/>
  <c r="U98" i="14"/>
  <c r="N98" i="14"/>
  <c r="AC93" i="14"/>
  <c r="U93" i="14"/>
  <c r="N92" i="14"/>
  <c r="BN89" i="14"/>
  <c r="BJ89" i="14"/>
  <c r="BF89" i="14"/>
  <c r="AC88" i="14"/>
  <c r="U88" i="14"/>
  <c r="BF86" i="14"/>
  <c r="AM86" i="14"/>
  <c r="N86" i="14"/>
  <c r="AM74" i="14"/>
  <c r="U74" i="14"/>
  <c r="N74" i="14"/>
  <c r="N68" i="14"/>
  <c r="BN65" i="14"/>
  <c r="BJ65" i="14"/>
  <c r="BF65" i="14"/>
  <c r="AU65" i="14"/>
  <c r="AM65" i="14"/>
  <c r="BF62" i="14"/>
  <c r="U62" i="14"/>
  <c r="N62" i="14"/>
  <c r="AM51" i="14"/>
  <c r="U51" i="14"/>
  <c r="N51" i="14"/>
  <c r="AM47" i="14"/>
  <c r="AM46" i="14"/>
  <c r="AM45" i="14"/>
  <c r="AM44" i="14"/>
  <c r="N44" i="14"/>
  <c r="AM43" i="14"/>
  <c r="AM42" i="14"/>
  <c r="BN39" i="14"/>
  <c r="BJ39" i="14"/>
  <c r="BF39" i="14"/>
  <c r="AU38" i="14"/>
  <c r="AM38" i="14"/>
  <c r="BF36" i="14"/>
  <c r="U36" i="14"/>
  <c r="N36" i="14"/>
  <c r="BB24" i="14"/>
  <c r="AT24" i="14"/>
  <c r="AM24" i="14"/>
  <c r="AF24" i="14"/>
  <c r="Y24" i="14"/>
  <c r="R24" i="14"/>
  <c r="K24" i="14"/>
  <c r="D24" i="14"/>
  <c r="BG11" i="14"/>
  <c r="AO11" i="14"/>
  <c r="U11" i="14"/>
  <c r="C11" i="14"/>
  <c r="D296" i="13" l="1"/>
  <c r="AM283" i="13"/>
  <c r="U283" i="13"/>
  <c r="N283" i="13"/>
  <c r="N277" i="13"/>
  <c r="BN274" i="13"/>
  <c r="BJ274" i="13"/>
  <c r="BF274" i="13"/>
  <c r="AU273" i="13"/>
  <c r="AM273" i="13"/>
  <c r="BF271" i="13"/>
  <c r="U271" i="13"/>
  <c r="N271" i="13"/>
  <c r="AM260" i="13"/>
  <c r="U260" i="13"/>
  <c r="N260" i="13"/>
  <c r="AY256" i="13"/>
  <c r="AQ256" i="13"/>
  <c r="AQ254" i="13"/>
  <c r="N254" i="13"/>
  <c r="AY253" i="13"/>
  <c r="AQ252" i="13"/>
  <c r="BN251" i="13"/>
  <c r="BJ251" i="13"/>
  <c r="BF251" i="13"/>
  <c r="AQ250" i="13"/>
  <c r="BF248" i="13"/>
  <c r="AY248" i="13"/>
  <c r="AQ248" i="13"/>
  <c r="U248" i="13"/>
  <c r="N248" i="13"/>
  <c r="AM236" i="13"/>
  <c r="U236" i="13"/>
  <c r="N236" i="13"/>
  <c r="N230" i="13"/>
  <c r="BN227" i="13"/>
  <c r="BJ227" i="13"/>
  <c r="BF227" i="13"/>
  <c r="BF224" i="13"/>
  <c r="AN224" i="13"/>
  <c r="U224" i="13"/>
  <c r="N224" i="13"/>
  <c r="AM212" i="13"/>
  <c r="U212" i="13"/>
  <c r="N212" i="13"/>
  <c r="N206" i="13"/>
  <c r="BN203" i="13"/>
  <c r="BJ203" i="13"/>
  <c r="BF203" i="13"/>
  <c r="AU203" i="13"/>
  <c r="AM203" i="13"/>
  <c r="BF200" i="13"/>
  <c r="U200" i="13"/>
  <c r="N200" i="13"/>
  <c r="AM188" i="13"/>
  <c r="U188" i="13"/>
  <c r="N188" i="13"/>
  <c r="N182" i="13"/>
  <c r="AU179" i="13"/>
  <c r="AQ179" i="13"/>
  <c r="AM179" i="13"/>
  <c r="AM176" i="13"/>
  <c r="U176" i="13"/>
  <c r="N176" i="13"/>
  <c r="AM164" i="13"/>
  <c r="U164" i="13"/>
  <c r="N164" i="13"/>
  <c r="AK159" i="13"/>
  <c r="AC159" i="13"/>
  <c r="U159" i="13"/>
  <c r="N158" i="13"/>
  <c r="BA153" i="13"/>
  <c r="AS153" i="13"/>
  <c r="AK153" i="13"/>
  <c r="AC153" i="13"/>
  <c r="U153" i="13"/>
  <c r="AC147" i="13"/>
  <c r="U147" i="13"/>
  <c r="BX142" i="13"/>
  <c r="BN142" i="13"/>
  <c r="BJ142" i="13"/>
  <c r="BF142" i="13"/>
  <c r="U141" i="13"/>
  <c r="BF139" i="13"/>
  <c r="AM139" i="13"/>
  <c r="N139" i="13"/>
  <c r="AM127" i="13"/>
  <c r="U127" i="13"/>
  <c r="N127" i="13"/>
  <c r="AY122" i="13"/>
  <c r="AS122" i="13"/>
  <c r="AM122" i="13"/>
  <c r="U122" i="13"/>
  <c r="N119" i="13"/>
  <c r="U117" i="13"/>
  <c r="BN113" i="13"/>
  <c r="BJ113" i="13"/>
  <c r="BF113" i="13"/>
  <c r="U112" i="13"/>
  <c r="N112" i="13"/>
  <c r="BF110" i="13"/>
  <c r="AM110" i="13"/>
  <c r="AM98" i="13"/>
  <c r="U98" i="13"/>
  <c r="N98" i="13"/>
  <c r="AC93" i="13"/>
  <c r="U93" i="13"/>
  <c r="N92" i="13"/>
  <c r="BN89" i="13"/>
  <c r="BJ89" i="13"/>
  <c r="BF89" i="13"/>
  <c r="AC88" i="13"/>
  <c r="U88" i="13"/>
  <c r="BF86" i="13"/>
  <c r="AM86" i="13"/>
  <c r="N86" i="13"/>
  <c r="AM74" i="13"/>
  <c r="U74" i="13"/>
  <c r="N74" i="13"/>
  <c r="N68" i="13"/>
  <c r="BN65" i="13"/>
  <c r="BJ65" i="13"/>
  <c r="BF65" i="13"/>
  <c r="AU65" i="13"/>
  <c r="AM65" i="13"/>
  <c r="BF62" i="13"/>
  <c r="U62" i="13"/>
  <c r="N62" i="13"/>
  <c r="AM51" i="13"/>
  <c r="U51" i="13"/>
  <c r="N51" i="13"/>
  <c r="AM47" i="13"/>
  <c r="AM46" i="13"/>
  <c r="AM45" i="13"/>
  <c r="AM44" i="13"/>
  <c r="N44" i="13"/>
  <c r="AM43" i="13"/>
  <c r="AM42" i="13"/>
  <c r="BN39" i="13"/>
  <c r="BJ39" i="13"/>
  <c r="BF39" i="13"/>
  <c r="AU38" i="13"/>
  <c r="AM38" i="13"/>
  <c r="BF36" i="13"/>
  <c r="U36" i="13"/>
  <c r="N36" i="13"/>
  <c r="BB24" i="13"/>
  <c r="AT24" i="13"/>
  <c r="AM24" i="13"/>
  <c r="AF24" i="13"/>
  <c r="Y24" i="13"/>
  <c r="R24" i="13"/>
  <c r="K24" i="13"/>
  <c r="D24" i="13"/>
  <c r="BG11" i="13"/>
  <c r="AO11" i="13"/>
  <c r="U11" i="13"/>
  <c r="C11" i="13"/>
  <c r="D296" i="12" l="1"/>
  <c r="AM283" i="12"/>
  <c r="U283" i="12"/>
  <c r="N283" i="12"/>
  <c r="N277" i="12"/>
  <c r="BN274" i="12"/>
  <c r="BJ274" i="12"/>
  <c r="BF274" i="12"/>
  <c r="AU273" i="12"/>
  <c r="AM273" i="12"/>
  <c r="BF271" i="12"/>
  <c r="U271" i="12"/>
  <c r="N271" i="12"/>
  <c r="AM260" i="12"/>
  <c r="U260" i="12"/>
  <c r="N260" i="12"/>
  <c r="AY256" i="12"/>
  <c r="AQ256" i="12"/>
  <c r="AQ254" i="12"/>
  <c r="N254" i="12"/>
  <c r="AY253" i="12"/>
  <c r="AQ252" i="12"/>
  <c r="BN251" i="12"/>
  <c r="BJ251" i="12"/>
  <c r="BF251" i="12"/>
  <c r="AQ250" i="12"/>
  <c r="BF248" i="12"/>
  <c r="AY248" i="12"/>
  <c r="AQ248" i="12"/>
  <c r="U248" i="12"/>
  <c r="N248" i="12"/>
  <c r="AM236" i="12"/>
  <c r="U236" i="12"/>
  <c r="N236" i="12"/>
  <c r="N230" i="12"/>
  <c r="BN227" i="12"/>
  <c r="BJ227" i="12"/>
  <c r="BF227" i="12"/>
  <c r="BF224" i="12"/>
  <c r="AN224" i="12"/>
  <c r="U224" i="12"/>
  <c r="N224" i="12"/>
  <c r="AM212" i="12"/>
  <c r="U212" i="12"/>
  <c r="N212" i="12"/>
  <c r="N206" i="12"/>
  <c r="BN203" i="12"/>
  <c r="BJ203" i="12"/>
  <c r="BF203" i="12"/>
  <c r="AU203" i="12"/>
  <c r="AM203" i="12"/>
  <c r="BF200" i="12"/>
  <c r="U200" i="12"/>
  <c r="N200" i="12"/>
  <c r="AM188" i="12"/>
  <c r="U188" i="12"/>
  <c r="N188" i="12"/>
  <c r="N182" i="12"/>
  <c r="AU179" i="12"/>
  <c r="AQ179" i="12"/>
  <c r="AM179" i="12"/>
  <c r="AM176" i="12"/>
  <c r="U176" i="12"/>
  <c r="N176" i="12"/>
  <c r="AM164" i="12"/>
  <c r="U164" i="12"/>
  <c r="N164" i="12"/>
  <c r="AK159" i="12"/>
  <c r="AC159" i="12"/>
  <c r="U159" i="12"/>
  <c r="N158" i="12"/>
  <c r="BA153" i="12"/>
  <c r="AS153" i="12"/>
  <c r="AK153" i="12"/>
  <c r="AC153" i="12"/>
  <c r="U153" i="12"/>
  <c r="AC147" i="12"/>
  <c r="U147" i="12"/>
  <c r="BX142" i="12"/>
  <c r="BN142" i="12"/>
  <c r="BJ142" i="12"/>
  <c r="BF142" i="12"/>
  <c r="U141" i="12"/>
  <c r="BF139" i="12"/>
  <c r="AM139" i="12"/>
  <c r="N139" i="12"/>
  <c r="AM127" i="12"/>
  <c r="U127" i="12"/>
  <c r="N127" i="12"/>
  <c r="AY122" i="12"/>
  <c r="AS122" i="12"/>
  <c r="AM122" i="12"/>
  <c r="U122" i="12"/>
  <c r="N119" i="12"/>
  <c r="U117" i="12"/>
  <c r="BN113" i="12"/>
  <c r="BJ113" i="12"/>
  <c r="BF113" i="12"/>
  <c r="U112" i="12"/>
  <c r="N112" i="12"/>
  <c r="BF110" i="12"/>
  <c r="AM110" i="12"/>
  <c r="AM98" i="12"/>
  <c r="U98" i="12"/>
  <c r="N98" i="12"/>
  <c r="AC93" i="12"/>
  <c r="U93" i="12"/>
  <c r="N92" i="12"/>
  <c r="BN89" i="12"/>
  <c r="BJ89" i="12"/>
  <c r="BF89" i="12"/>
  <c r="AC88" i="12"/>
  <c r="U88" i="12"/>
  <c r="BF86" i="12"/>
  <c r="AM86" i="12"/>
  <c r="N86" i="12"/>
  <c r="AM74" i="12"/>
  <c r="U74" i="12"/>
  <c r="N74" i="12"/>
  <c r="N68" i="12"/>
  <c r="BN65" i="12"/>
  <c r="BJ65" i="12"/>
  <c r="BF65" i="12"/>
  <c r="AU65" i="12"/>
  <c r="AM65" i="12"/>
  <c r="BF62" i="12"/>
  <c r="U62" i="12"/>
  <c r="N62" i="12"/>
  <c r="AM51" i="12"/>
  <c r="U51" i="12"/>
  <c r="N51" i="12"/>
  <c r="AM47" i="12"/>
  <c r="AM46" i="12"/>
  <c r="AM45" i="12"/>
  <c r="AM44" i="12"/>
  <c r="N44" i="12"/>
  <c r="AM43" i="12"/>
  <c r="AM42" i="12"/>
  <c r="BN39" i="12"/>
  <c r="BJ39" i="12"/>
  <c r="BF39" i="12"/>
  <c r="AU38" i="12"/>
  <c r="AM38" i="12"/>
  <c r="BF36" i="12"/>
  <c r="U36" i="12"/>
  <c r="N36" i="12"/>
  <c r="BB24" i="12"/>
  <c r="AT24" i="12"/>
  <c r="AM24" i="12"/>
  <c r="AF24" i="12"/>
  <c r="Y24" i="12"/>
  <c r="R24" i="12"/>
  <c r="K24" i="12"/>
  <c r="D24" i="12"/>
  <c r="BG11" i="12"/>
  <c r="AO11" i="12"/>
  <c r="U11" i="12"/>
  <c r="C11" i="12"/>
  <c r="D296" i="11" l="1"/>
  <c r="AM283" i="11"/>
  <c r="U283" i="11"/>
  <c r="N283" i="11"/>
  <c r="N277" i="11"/>
  <c r="BN274" i="11"/>
  <c r="BJ274" i="11"/>
  <c r="BF274" i="11"/>
  <c r="AU273" i="11"/>
  <c r="AM273" i="11"/>
  <c r="BF271" i="11"/>
  <c r="U271" i="11"/>
  <c r="N271" i="11"/>
  <c r="AM260" i="11"/>
  <c r="U260" i="11"/>
  <c r="N260" i="11"/>
  <c r="AY256" i="11"/>
  <c r="AQ256" i="11"/>
  <c r="AQ254" i="11"/>
  <c r="N254" i="11"/>
  <c r="AY253" i="11"/>
  <c r="AQ252" i="11"/>
  <c r="BN251" i="11"/>
  <c r="BJ251" i="11"/>
  <c r="BF251" i="11"/>
  <c r="AQ250" i="11"/>
  <c r="BF248" i="11"/>
  <c r="AY248" i="11"/>
  <c r="AQ248" i="11"/>
  <c r="U248" i="11"/>
  <c r="N248" i="11"/>
  <c r="AM236" i="11"/>
  <c r="U236" i="11"/>
  <c r="N236" i="11"/>
  <c r="N230" i="11"/>
  <c r="BN227" i="11"/>
  <c r="BJ227" i="11"/>
  <c r="BF227" i="11"/>
  <c r="BF224" i="11"/>
  <c r="AN224" i="11"/>
  <c r="U224" i="11"/>
  <c r="N224" i="11"/>
  <c r="AM212" i="11"/>
  <c r="U212" i="11"/>
  <c r="N212" i="11"/>
  <c r="N206" i="11"/>
  <c r="BN203" i="11"/>
  <c r="BJ203" i="11"/>
  <c r="BF203" i="11"/>
  <c r="AU203" i="11"/>
  <c r="AM203" i="11"/>
  <c r="BF200" i="11"/>
  <c r="U200" i="11"/>
  <c r="N200" i="11"/>
  <c r="AM188" i="11"/>
  <c r="U188" i="11"/>
  <c r="N188" i="11"/>
  <c r="N182" i="11"/>
  <c r="AU179" i="11"/>
  <c r="AQ179" i="11"/>
  <c r="AM179" i="11"/>
  <c r="AM176" i="11"/>
  <c r="U176" i="11"/>
  <c r="N176" i="11"/>
  <c r="AM164" i="11"/>
  <c r="U164" i="11"/>
  <c r="N164" i="11"/>
  <c r="AK159" i="11"/>
  <c r="AC159" i="11"/>
  <c r="U159" i="11"/>
  <c r="N158" i="11"/>
  <c r="BA153" i="11"/>
  <c r="AS153" i="11"/>
  <c r="AK153" i="11"/>
  <c r="AC153" i="11"/>
  <c r="U153" i="11"/>
  <c r="AC147" i="11"/>
  <c r="U147" i="11"/>
  <c r="BX142" i="11"/>
  <c r="BN142" i="11"/>
  <c r="BJ142" i="11"/>
  <c r="BF142" i="11"/>
  <c r="U141" i="11"/>
  <c r="BF139" i="11"/>
  <c r="AM139" i="11"/>
  <c r="N139" i="11"/>
  <c r="AM127" i="11"/>
  <c r="U127" i="11"/>
  <c r="N127" i="11"/>
  <c r="AY122" i="11"/>
  <c r="AS122" i="11"/>
  <c r="AM122" i="11"/>
  <c r="U122" i="11"/>
  <c r="N119" i="11"/>
  <c r="U117" i="11"/>
  <c r="BN113" i="11"/>
  <c r="BJ113" i="11"/>
  <c r="BF113" i="11"/>
  <c r="U112" i="11"/>
  <c r="N112" i="11"/>
  <c r="BF110" i="11"/>
  <c r="AM110" i="11"/>
  <c r="AM98" i="11"/>
  <c r="U98" i="11"/>
  <c r="N98" i="11"/>
  <c r="AC93" i="11"/>
  <c r="U93" i="11"/>
  <c r="N92" i="11"/>
  <c r="BN89" i="11"/>
  <c r="BJ89" i="11"/>
  <c r="BF89" i="11"/>
  <c r="AC88" i="11"/>
  <c r="U88" i="11"/>
  <c r="BF86" i="11"/>
  <c r="AM86" i="11"/>
  <c r="N86" i="11"/>
  <c r="AM74" i="11"/>
  <c r="U74" i="11"/>
  <c r="N74" i="11"/>
  <c r="N68" i="11"/>
  <c r="BN65" i="11"/>
  <c r="BJ65" i="11"/>
  <c r="BF65" i="11"/>
  <c r="AU65" i="11"/>
  <c r="AM65" i="11"/>
  <c r="BF62" i="11"/>
  <c r="U62" i="11"/>
  <c r="N62" i="11"/>
  <c r="AM51" i="11"/>
  <c r="U51" i="11"/>
  <c r="N51" i="11"/>
  <c r="AM47" i="11"/>
  <c r="AM46" i="11"/>
  <c r="AM45" i="11"/>
  <c r="AM44" i="11"/>
  <c r="N44" i="11"/>
  <c r="AM43" i="11"/>
  <c r="AM42" i="11"/>
  <c r="BN39" i="11"/>
  <c r="BJ39" i="11"/>
  <c r="BF39" i="11"/>
  <c r="AU38" i="11"/>
  <c r="AM38" i="11"/>
  <c r="BF36" i="11"/>
  <c r="U36" i="11"/>
  <c r="N36" i="11"/>
  <c r="BB24" i="11"/>
  <c r="AT24" i="11"/>
  <c r="AM24" i="11"/>
  <c r="AF24" i="11"/>
  <c r="Y24" i="11"/>
  <c r="R24" i="11"/>
  <c r="K24" i="11"/>
  <c r="D24" i="11"/>
  <c r="BG11" i="11"/>
  <c r="AO11" i="11"/>
  <c r="U11" i="11"/>
  <c r="C11" i="11"/>
  <c r="D296" i="10" l="1"/>
  <c r="AM283" i="10"/>
  <c r="U283" i="10"/>
  <c r="N283" i="10"/>
  <c r="N277" i="10"/>
  <c r="BN274" i="10"/>
  <c r="BJ274" i="10"/>
  <c r="BF274" i="10"/>
  <c r="AU273" i="10"/>
  <c r="AM273" i="10"/>
  <c r="BF271" i="10"/>
  <c r="U271" i="10"/>
  <c r="N271" i="10"/>
  <c r="AM260" i="10"/>
  <c r="U260" i="10"/>
  <c r="N260" i="10"/>
  <c r="AY256" i="10"/>
  <c r="AQ256" i="10"/>
  <c r="AQ254" i="10"/>
  <c r="N254" i="10"/>
  <c r="AY253" i="10"/>
  <c r="AQ252" i="10"/>
  <c r="BN251" i="10"/>
  <c r="BJ251" i="10"/>
  <c r="BF251" i="10"/>
  <c r="AQ250" i="10"/>
  <c r="BF248" i="10"/>
  <c r="AY248" i="10"/>
  <c r="AQ248" i="10"/>
  <c r="U248" i="10"/>
  <c r="N248" i="10"/>
  <c r="AM236" i="10"/>
  <c r="U236" i="10"/>
  <c r="N236" i="10"/>
  <c r="N230" i="10"/>
  <c r="BN227" i="10"/>
  <c r="BJ227" i="10"/>
  <c r="BF227" i="10"/>
  <c r="BF224" i="10"/>
  <c r="AN224" i="10"/>
  <c r="U224" i="10"/>
  <c r="N224" i="10"/>
  <c r="AM212" i="10"/>
  <c r="U212" i="10"/>
  <c r="N212" i="10"/>
  <c r="N206" i="10"/>
  <c r="BN203" i="10"/>
  <c r="BJ203" i="10"/>
  <c r="BF203" i="10"/>
  <c r="AU203" i="10"/>
  <c r="AM203" i="10"/>
  <c r="BF200" i="10"/>
  <c r="U200" i="10"/>
  <c r="N200" i="10"/>
  <c r="AM188" i="10"/>
  <c r="U188" i="10"/>
  <c r="N188" i="10"/>
  <c r="N182" i="10"/>
  <c r="AU179" i="10"/>
  <c r="AQ179" i="10"/>
  <c r="AM179" i="10"/>
  <c r="AM176" i="10"/>
  <c r="U176" i="10"/>
  <c r="N176" i="10"/>
  <c r="AM164" i="10"/>
  <c r="U164" i="10"/>
  <c r="N164" i="10"/>
  <c r="AK159" i="10"/>
  <c r="AC159" i="10"/>
  <c r="U159" i="10"/>
  <c r="N158" i="10"/>
  <c r="BA153" i="10"/>
  <c r="AS153" i="10"/>
  <c r="AK153" i="10"/>
  <c r="AC153" i="10"/>
  <c r="U153" i="10"/>
  <c r="AC147" i="10"/>
  <c r="U147" i="10"/>
  <c r="BX142" i="10"/>
  <c r="BN142" i="10"/>
  <c r="BJ142" i="10"/>
  <c r="BF142" i="10"/>
  <c r="U141" i="10"/>
  <c r="BF139" i="10"/>
  <c r="AM139" i="10"/>
  <c r="N139" i="10"/>
  <c r="AM127" i="10"/>
  <c r="U127" i="10"/>
  <c r="N127" i="10"/>
  <c r="AY122" i="10"/>
  <c r="AS122" i="10"/>
  <c r="AM122" i="10"/>
  <c r="U122" i="10"/>
  <c r="N119" i="10"/>
  <c r="U117" i="10"/>
  <c r="BN113" i="10"/>
  <c r="BJ113" i="10"/>
  <c r="BF113" i="10"/>
  <c r="U112" i="10"/>
  <c r="N112" i="10"/>
  <c r="BF110" i="10"/>
  <c r="AM110" i="10"/>
  <c r="AM98" i="10"/>
  <c r="U98" i="10"/>
  <c r="N98" i="10"/>
  <c r="AC93" i="10"/>
  <c r="U93" i="10"/>
  <c r="N92" i="10"/>
  <c r="BN89" i="10"/>
  <c r="BJ89" i="10"/>
  <c r="BF89" i="10"/>
  <c r="AC88" i="10"/>
  <c r="U88" i="10"/>
  <c r="BF86" i="10"/>
  <c r="AM86" i="10"/>
  <c r="N86" i="10"/>
  <c r="AM74" i="10"/>
  <c r="U74" i="10"/>
  <c r="N74" i="10"/>
  <c r="N68" i="10"/>
  <c r="BN65" i="10"/>
  <c r="BJ65" i="10"/>
  <c r="BF65" i="10"/>
  <c r="AU65" i="10"/>
  <c r="AM65" i="10"/>
  <c r="BF62" i="10"/>
  <c r="U62" i="10"/>
  <c r="N62" i="10"/>
  <c r="AM51" i="10"/>
  <c r="U51" i="10"/>
  <c r="N51" i="10"/>
  <c r="AM47" i="10"/>
  <c r="AM46" i="10"/>
  <c r="AM45" i="10"/>
  <c r="AM44" i="10"/>
  <c r="N44" i="10"/>
  <c r="AM43" i="10"/>
  <c r="AM42" i="10"/>
  <c r="BN39" i="10"/>
  <c r="BJ39" i="10"/>
  <c r="BF39" i="10"/>
  <c r="AU38" i="10"/>
  <c r="AM38" i="10"/>
  <c r="BF36" i="10"/>
  <c r="U36" i="10"/>
  <c r="N36" i="10"/>
  <c r="BB24" i="10"/>
  <c r="AT24" i="10"/>
  <c r="AM24" i="10"/>
  <c r="AF24" i="10"/>
  <c r="Y24" i="10"/>
  <c r="R24" i="10"/>
  <c r="K24" i="10"/>
  <c r="D24" i="10"/>
  <c r="BG11" i="10"/>
  <c r="AO11" i="10"/>
  <c r="U11" i="10"/>
  <c r="C11" i="10"/>
  <c r="D296" i="9" l="1"/>
  <c r="AM283" i="9"/>
  <c r="U283" i="9"/>
  <c r="N283" i="9"/>
  <c r="N277" i="9"/>
  <c r="BN274" i="9"/>
  <c r="BJ274" i="9"/>
  <c r="BF274" i="9"/>
  <c r="AU273" i="9"/>
  <c r="AM273" i="9"/>
  <c r="BF271" i="9"/>
  <c r="U271" i="9"/>
  <c r="N271" i="9"/>
  <c r="AM260" i="9"/>
  <c r="U260" i="9"/>
  <c r="N260" i="9"/>
  <c r="AY256" i="9"/>
  <c r="AQ256" i="9"/>
  <c r="AQ254" i="9"/>
  <c r="N254" i="9"/>
  <c r="AY253" i="9"/>
  <c r="AQ252" i="9"/>
  <c r="BN251" i="9"/>
  <c r="BJ251" i="9"/>
  <c r="BF251" i="9"/>
  <c r="AQ250" i="9"/>
  <c r="BF248" i="9"/>
  <c r="AY248" i="9"/>
  <c r="AQ248" i="9"/>
  <c r="U248" i="9"/>
  <c r="N248" i="9"/>
  <c r="AM236" i="9"/>
  <c r="U236" i="9"/>
  <c r="N236" i="9"/>
  <c r="N230" i="9"/>
  <c r="BN227" i="9"/>
  <c r="BJ227" i="9"/>
  <c r="BF227" i="9"/>
  <c r="BF224" i="9"/>
  <c r="AN224" i="9"/>
  <c r="U224" i="9"/>
  <c r="N224" i="9"/>
  <c r="AM212" i="9"/>
  <c r="U212" i="9"/>
  <c r="N212" i="9"/>
  <c r="N206" i="9"/>
  <c r="BN203" i="9"/>
  <c r="BJ203" i="9"/>
  <c r="BF203" i="9"/>
  <c r="AU203" i="9"/>
  <c r="AM203" i="9"/>
  <c r="BF200" i="9"/>
  <c r="U200" i="9"/>
  <c r="N200" i="9"/>
  <c r="AM188" i="9"/>
  <c r="U188" i="9"/>
  <c r="N188" i="9"/>
  <c r="N182" i="9"/>
  <c r="AU179" i="9"/>
  <c r="AQ179" i="9"/>
  <c r="AM179" i="9"/>
  <c r="AM176" i="9"/>
  <c r="U176" i="9"/>
  <c r="N176" i="9"/>
  <c r="AM164" i="9"/>
  <c r="U164" i="9"/>
  <c r="N164" i="9"/>
  <c r="AK159" i="9"/>
  <c r="AC159" i="9"/>
  <c r="U159" i="9"/>
  <c r="N158" i="9"/>
  <c r="BA153" i="9"/>
  <c r="AS153" i="9"/>
  <c r="AK153" i="9"/>
  <c r="AC153" i="9"/>
  <c r="U153" i="9"/>
  <c r="AC147" i="9"/>
  <c r="U147" i="9"/>
  <c r="BX142" i="9"/>
  <c r="BN142" i="9"/>
  <c r="BJ142" i="9"/>
  <c r="BF142" i="9"/>
  <c r="U141" i="9"/>
  <c r="BF139" i="9"/>
  <c r="AM139" i="9"/>
  <c r="N139" i="9"/>
  <c r="AM127" i="9"/>
  <c r="U127" i="9"/>
  <c r="N127" i="9"/>
  <c r="AY122" i="9"/>
  <c r="AS122" i="9"/>
  <c r="AM122" i="9"/>
  <c r="U122" i="9"/>
  <c r="N119" i="9"/>
  <c r="U117" i="9"/>
  <c r="BN113" i="9"/>
  <c r="BJ113" i="9"/>
  <c r="BF113" i="9"/>
  <c r="U112" i="9"/>
  <c r="N112" i="9"/>
  <c r="BF110" i="9"/>
  <c r="AM110" i="9"/>
  <c r="AM98" i="9"/>
  <c r="U98" i="9"/>
  <c r="N98" i="9"/>
  <c r="AC93" i="9"/>
  <c r="U93" i="9"/>
  <c r="N92" i="9"/>
  <c r="BN89" i="9"/>
  <c r="BJ89" i="9"/>
  <c r="BF89" i="9"/>
  <c r="AC88" i="9"/>
  <c r="U88" i="9"/>
  <c r="BF86" i="9"/>
  <c r="AM86" i="9"/>
  <c r="N86" i="9"/>
  <c r="AM74" i="9"/>
  <c r="U74" i="9"/>
  <c r="N74" i="9"/>
  <c r="N68" i="9"/>
  <c r="BN65" i="9"/>
  <c r="BJ65" i="9"/>
  <c r="BF65" i="9"/>
  <c r="AU65" i="9"/>
  <c r="AM65" i="9"/>
  <c r="BF62" i="9"/>
  <c r="U62" i="9"/>
  <c r="N62" i="9"/>
  <c r="AM51" i="9"/>
  <c r="U51" i="9"/>
  <c r="N51" i="9"/>
  <c r="AM47" i="9"/>
  <c r="AM46" i="9"/>
  <c r="AM45" i="9"/>
  <c r="AM44" i="9"/>
  <c r="N44" i="9"/>
  <c r="AM43" i="9"/>
  <c r="AM42" i="9"/>
  <c r="BN39" i="9"/>
  <c r="BJ39" i="9"/>
  <c r="BF39" i="9"/>
  <c r="AU38" i="9"/>
  <c r="AM38" i="9"/>
  <c r="BF36" i="9"/>
  <c r="U36" i="9"/>
  <c r="N36" i="9"/>
  <c r="BB24" i="9"/>
  <c r="AT24" i="9"/>
  <c r="AM24" i="9"/>
  <c r="AF24" i="9"/>
  <c r="Y24" i="9"/>
  <c r="R24" i="9"/>
  <c r="K24" i="9"/>
  <c r="D24" i="9"/>
  <c r="BG11" i="9"/>
  <c r="AO11" i="9"/>
  <c r="U11" i="9"/>
  <c r="C11" i="9"/>
  <c r="D296" i="8" l="1"/>
  <c r="AM283" i="8"/>
  <c r="U283" i="8"/>
  <c r="N283" i="8"/>
  <c r="N277" i="8"/>
  <c r="BN274" i="8"/>
  <c r="BJ274" i="8"/>
  <c r="BF274" i="8"/>
  <c r="AU273" i="8"/>
  <c r="AM273" i="8"/>
  <c r="BF271" i="8"/>
  <c r="U271" i="8"/>
  <c r="N271" i="8"/>
  <c r="AM260" i="8"/>
  <c r="U260" i="8"/>
  <c r="N260" i="8"/>
  <c r="AY256" i="8"/>
  <c r="AQ256" i="8"/>
  <c r="AQ254" i="8"/>
  <c r="N254" i="8"/>
  <c r="AY253" i="8"/>
  <c r="AQ252" i="8"/>
  <c r="BN251" i="8"/>
  <c r="BJ251" i="8"/>
  <c r="BF251" i="8"/>
  <c r="AQ250" i="8"/>
  <c r="BF248" i="8"/>
  <c r="AY248" i="8"/>
  <c r="AQ248" i="8"/>
  <c r="U248" i="8"/>
  <c r="N248" i="8"/>
  <c r="AM236" i="8"/>
  <c r="U236" i="8"/>
  <c r="N236" i="8"/>
  <c r="N230" i="8"/>
  <c r="BN227" i="8"/>
  <c r="BJ227" i="8"/>
  <c r="BF227" i="8"/>
  <c r="BF224" i="8"/>
  <c r="AN224" i="8"/>
  <c r="U224" i="8"/>
  <c r="N224" i="8"/>
  <c r="AM212" i="8"/>
  <c r="U212" i="8"/>
  <c r="N212" i="8"/>
  <c r="N206" i="8"/>
  <c r="BN203" i="8"/>
  <c r="BJ203" i="8"/>
  <c r="BF203" i="8"/>
  <c r="AU203" i="8"/>
  <c r="AM203" i="8"/>
  <c r="BF200" i="8"/>
  <c r="U200" i="8"/>
  <c r="N200" i="8"/>
  <c r="AM188" i="8"/>
  <c r="U188" i="8"/>
  <c r="N188" i="8"/>
  <c r="N182" i="8"/>
  <c r="AU179" i="8"/>
  <c r="AQ179" i="8"/>
  <c r="AM179" i="8"/>
  <c r="AM176" i="8"/>
  <c r="U176" i="8"/>
  <c r="N176" i="8"/>
  <c r="AM164" i="8"/>
  <c r="U164" i="8"/>
  <c r="N164" i="8"/>
  <c r="AK159" i="8"/>
  <c r="AC159" i="8"/>
  <c r="U159" i="8"/>
  <c r="N158" i="8"/>
  <c r="BA153" i="8"/>
  <c r="AS153" i="8"/>
  <c r="AK153" i="8"/>
  <c r="AC153" i="8"/>
  <c r="U153" i="8"/>
  <c r="AC147" i="8"/>
  <c r="U147" i="8"/>
  <c r="BX142" i="8"/>
  <c r="BN142" i="8"/>
  <c r="BJ142" i="8"/>
  <c r="BF142" i="8"/>
  <c r="U141" i="8"/>
  <c r="BF139" i="8"/>
  <c r="AM139" i="8"/>
  <c r="N139" i="8"/>
  <c r="AM127" i="8"/>
  <c r="U127" i="8"/>
  <c r="N127" i="8"/>
  <c r="AY122" i="8"/>
  <c r="AS122" i="8"/>
  <c r="AM122" i="8"/>
  <c r="U122" i="8"/>
  <c r="N119" i="8"/>
  <c r="U117" i="8"/>
  <c r="BN113" i="8"/>
  <c r="BJ113" i="8"/>
  <c r="BF113" i="8"/>
  <c r="U112" i="8"/>
  <c r="N112" i="8"/>
  <c r="BF110" i="8"/>
  <c r="AM110" i="8"/>
  <c r="AM98" i="8"/>
  <c r="U98" i="8"/>
  <c r="N98" i="8"/>
  <c r="AC93" i="8"/>
  <c r="U93" i="8"/>
  <c r="N92" i="8"/>
  <c r="BN89" i="8"/>
  <c r="BJ89" i="8"/>
  <c r="BF89" i="8"/>
  <c r="AC88" i="8"/>
  <c r="U88" i="8"/>
  <c r="BF86" i="8"/>
  <c r="AM86" i="8"/>
  <c r="N86" i="8"/>
  <c r="AM74" i="8"/>
  <c r="U74" i="8"/>
  <c r="N74" i="8"/>
  <c r="N68" i="8"/>
  <c r="BN65" i="8"/>
  <c r="BJ65" i="8"/>
  <c r="BF65" i="8"/>
  <c r="AU65" i="8"/>
  <c r="AM65" i="8"/>
  <c r="BF62" i="8"/>
  <c r="U62" i="8"/>
  <c r="N62" i="8"/>
  <c r="AM51" i="8"/>
  <c r="U51" i="8"/>
  <c r="N51" i="8"/>
  <c r="AM47" i="8"/>
  <c r="AM46" i="8"/>
  <c r="AM45" i="8"/>
  <c r="AM44" i="8"/>
  <c r="N44" i="8"/>
  <c r="AM43" i="8"/>
  <c r="AM42" i="8"/>
  <c r="BN39" i="8"/>
  <c r="BJ39" i="8"/>
  <c r="BF39" i="8"/>
  <c r="AU38" i="8"/>
  <c r="AM38" i="8"/>
  <c r="BF36" i="8"/>
  <c r="U36" i="8"/>
  <c r="N36" i="8"/>
  <c r="BB24" i="8"/>
  <c r="AT24" i="8"/>
  <c r="AM24" i="8"/>
  <c r="AF24" i="8"/>
  <c r="Y24" i="8"/>
  <c r="R24" i="8"/>
  <c r="K24" i="8"/>
  <c r="D24" i="8"/>
  <c r="BG11" i="8"/>
  <c r="AO11" i="8"/>
  <c r="U11" i="8"/>
  <c r="C11" i="8"/>
  <c r="D296" i="7" l="1"/>
  <c r="AM283" i="7"/>
  <c r="U283" i="7"/>
  <c r="N283" i="7"/>
  <c r="N277" i="7"/>
  <c r="BN274" i="7"/>
  <c r="BJ274" i="7"/>
  <c r="BF274" i="7"/>
  <c r="AU273" i="7"/>
  <c r="AM273" i="7"/>
  <c r="BF271" i="7"/>
  <c r="U271" i="7"/>
  <c r="N271" i="7"/>
  <c r="AM260" i="7"/>
  <c r="U260" i="7"/>
  <c r="N260" i="7"/>
  <c r="AY256" i="7"/>
  <c r="AQ256" i="7"/>
  <c r="AQ254" i="7"/>
  <c r="N254" i="7"/>
  <c r="AY253" i="7"/>
  <c r="AQ252" i="7"/>
  <c r="BN251" i="7"/>
  <c r="BJ251" i="7"/>
  <c r="BF251" i="7"/>
  <c r="AQ250" i="7"/>
  <c r="BF248" i="7"/>
  <c r="AY248" i="7"/>
  <c r="AQ248" i="7"/>
  <c r="U248" i="7"/>
  <c r="N248" i="7"/>
  <c r="AM236" i="7"/>
  <c r="U236" i="7"/>
  <c r="N236" i="7"/>
  <c r="N230" i="7"/>
  <c r="BN227" i="7"/>
  <c r="BJ227" i="7"/>
  <c r="BF227" i="7"/>
  <c r="BF224" i="7"/>
  <c r="AN224" i="7"/>
  <c r="U224" i="7"/>
  <c r="N224" i="7"/>
  <c r="AM212" i="7"/>
  <c r="U212" i="7"/>
  <c r="N212" i="7"/>
  <c r="N206" i="7"/>
  <c r="BN203" i="7"/>
  <c r="BJ203" i="7"/>
  <c r="BF203" i="7"/>
  <c r="AU203" i="7"/>
  <c r="AM203" i="7"/>
  <c r="BF200" i="7"/>
  <c r="U200" i="7"/>
  <c r="N200" i="7"/>
  <c r="AM188" i="7"/>
  <c r="U188" i="7"/>
  <c r="N188" i="7"/>
  <c r="N182" i="7"/>
  <c r="AU179" i="7"/>
  <c r="AQ179" i="7"/>
  <c r="AM179" i="7"/>
  <c r="AM176" i="7"/>
  <c r="U176" i="7"/>
  <c r="N176" i="7"/>
  <c r="AM164" i="7"/>
  <c r="U164" i="7"/>
  <c r="N164" i="7"/>
  <c r="AK159" i="7"/>
  <c r="AC159" i="7"/>
  <c r="U159" i="7"/>
  <c r="N158" i="7"/>
  <c r="BA153" i="7"/>
  <c r="AS153" i="7"/>
  <c r="AK153" i="7"/>
  <c r="AC153" i="7"/>
  <c r="U153" i="7"/>
  <c r="AC147" i="7"/>
  <c r="U147" i="7"/>
  <c r="BX142" i="7"/>
  <c r="BN142" i="7"/>
  <c r="BJ142" i="7"/>
  <c r="BF142" i="7"/>
  <c r="U141" i="7"/>
  <c r="BF139" i="7"/>
  <c r="AM139" i="7"/>
  <c r="N139" i="7"/>
  <c r="AM127" i="7"/>
  <c r="U127" i="7"/>
  <c r="N127" i="7"/>
  <c r="AY122" i="7"/>
  <c r="AS122" i="7"/>
  <c r="AM122" i="7"/>
  <c r="U122" i="7"/>
  <c r="N119" i="7"/>
  <c r="U117" i="7"/>
  <c r="BN113" i="7"/>
  <c r="BJ113" i="7"/>
  <c r="BF113" i="7"/>
  <c r="U112" i="7"/>
  <c r="N112" i="7"/>
  <c r="BF110" i="7"/>
  <c r="AM110" i="7"/>
  <c r="AM98" i="7"/>
  <c r="U98" i="7"/>
  <c r="N98" i="7"/>
  <c r="AC93" i="7"/>
  <c r="U93" i="7"/>
  <c r="N92" i="7"/>
  <c r="BN89" i="7"/>
  <c r="BJ89" i="7"/>
  <c r="BF89" i="7"/>
  <c r="AC88" i="7"/>
  <c r="U88" i="7"/>
  <c r="BF86" i="7"/>
  <c r="AM86" i="7"/>
  <c r="N86" i="7"/>
  <c r="AM74" i="7"/>
  <c r="U74" i="7"/>
  <c r="N74" i="7"/>
  <c r="N68" i="7"/>
  <c r="BN65" i="7"/>
  <c r="BJ65" i="7"/>
  <c r="BF65" i="7"/>
  <c r="AU65" i="7"/>
  <c r="AM65" i="7"/>
  <c r="BF62" i="7"/>
  <c r="U62" i="7"/>
  <c r="N62" i="7"/>
  <c r="AM51" i="7"/>
  <c r="U51" i="7"/>
  <c r="N51" i="7"/>
  <c r="AM47" i="7"/>
  <c r="AM46" i="7"/>
  <c r="AM45" i="7"/>
  <c r="AM44" i="7"/>
  <c r="N44" i="7"/>
  <c r="AM43" i="7"/>
  <c r="AM42" i="7"/>
  <c r="BN39" i="7"/>
  <c r="BJ39" i="7"/>
  <c r="BF39" i="7"/>
  <c r="AU38" i="7"/>
  <c r="AM38" i="7"/>
  <c r="BF36" i="7"/>
  <c r="U36" i="7"/>
  <c r="N36" i="7"/>
  <c r="BB24" i="7"/>
  <c r="AT24" i="7"/>
  <c r="AM24" i="7"/>
  <c r="AF24" i="7"/>
  <c r="Y24" i="7"/>
  <c r="R24" i="7"/>
  <c r="K24" i="7"/>
  <c r="D24" i="7"/>
  <c r="BG11" i="7"/>
  <c r="AO11" i="7"/>
  <c r="U11" i="7"/>
  <c r="C11" i="7"/>
  <c r="D296" i="6" l="1"/>
  <c r="AM283" i="6"/>
  <c r="U283" i="6"/>
  <c r="N283" i="6"/>
  <c r="N277" i="6"/>
  <c r="BN274" i="6"/>
  <c r="BJ274" i="6"/>
  <c r="BF274" i="6"/>
  <c r="AU273" i="6"/>
  <c r="AM273" i="6"/>
  <c r="BF271" i="6"/>
  <c r="U271" i="6"/>
  <c r="N271" i="6"/>
  <c r="AM260" i="6"/>
  <c r="U260" i="6"/>
  <c r="N260" i="6"/>
  <c r="AY256" i="6"/>
  <c r="AQ256" i="6"/>
  <c r="AQ254" i="6"/>
  <c r="N254" i="6"/>
  <c r="AY253" i="6"/>
  <c r="AQ252" i="6"/>
  <c r="BN251" i="6"/>
  <c r="BJ251" i="6"/>
  <c r="BF251" i="6"/>
  <c r="AQ250" i="6"/>
  <c r="BF248" i="6"/>
  <c r="AY248" i="6"/>
  <c r="AQ248" i="6"/>
  <c r="U248" i="6"/>
  <c r="N248" i="6"/>
  <c r="AM236" i="6"/>
  <c r="U236" i="6"/>
  <c r="N236" i="6"/>
  <c r="N230" i="6"/>
  <c r="BN227" i="6"/>
  <c r="BJ227" i="6"/>
  <c r="BF227" i="6"/>
  <c r="BF224" i="6"/>
  <c r="AN224" i="6"/>
  <c r="U224" i="6"/>
  <c r="N224" i="6"/>
  <c r="AM212" i="6"/>
  <c r="U212" i="6"/>
  <c r="N212" i="6"/>
  <c r="N206" i="6"/>
  <c r="BN203" i="6"/>
  <c r="BJ203" i="6"/>
  <c r="BF203" i="6"/>
  <c r="AU203" i="6"/>
  <c r="AM203" i="6"/>
  <c r="BF200" i="6"/>
  <c r="U200" i="6"/>
  <c r="N200" i="6"/>
  <c r="AM188" i="6"/>
  <c r="U188" i="6"/>
  <c r="N188" i="6"/>
  <c r="N182" i="6"/>
  <c r="AU179" i="6"/>
  <c r="AQ179" i="6"/>
  <c r="AM179" i="6"/>
  <c r="AM176" i="6"/>
  <c r="U176" i="6"/>
  <c r="N176" i="6"/>
  <c r="AM164" i="6"/>
  <c r="U164" i="6"/>
  <c r="N164" i="6"/>
  <c r="AK159" i="6"/>
  <c r="AC159" i="6"/>
  <c r="U159" i="6"/>
  <c r="N158" i="6"/>
  <c r="BA153" i="6"/>
  <c r="AS153" i="6"/>
  <c r="AK153" i="6"/>
  <c r="AC153" i="6"/>
  <c r="U153" i="6"/>
  <c r="AC147" i="6"/>
  <c r="U147" i="6"/>
  <c r="BX142" i="6"/>
  <c r="BN142" i="6"/>
  <c r="BJ142" i="6"/>
  <c r="BF142" i="6"/>
  <c r="U141" i="6"/>
  <c r="BF139" i="6"/>
  <c r="AM139" i="6"/>
  <c r="N139" i="6"/>
  <c r="AM127" i="6"/>
  <c r="U127" i="6"/>
  <c r="N127" i="6"/>
  <c r="AY122" i="6"/>
  <c r="AS122" i="6"/>
  <c r="AM122" i="6"/>
  <c r="U122" i="6"/>
  <c r="N119" i="6"/>
  <c r="U117" i="6"/>
  <c r="BN113" i="6"/>
  <c r="BJ113" i="6"/>
  <c r="BF113" i="6"/>
  <c r="U112" i="6"/>
  <c r="N112" i="6"/>
  <c r="BF110" i="6"/>
  <c r="AM110" i="6"/>
  <c r="AM98" i="6"/>
  <c r="U98" i="6"/>
  <c r="N98" i="6"/>
  <c r="AC93" i="6"/>
  <c r="U93" i="6"/>
  <c r="N92" i="6"/>
  <c r="BN89" i="6"/>
  <c r="BJ89" i="6"/>
  <c r="BF89" i="6"/>
  <c r="AC88" i="6"/>
  <c r="U88" i="6"/>
  <c r="BF86" i="6"/>
  <c r="AM86" i="6"/>
  <c r="N86" i="6"/>
  <c r="AM74" i="6"/>
  <c r="U74" i="6"/>
  <c r="N74" i="6"/>
  <c r="N68" i="6"/>
  <c r="BN65" i="6"/>
  <c r="BJ65" i="6"/>
  <c r="BF65" i="6"/>
  <c r="AU65" i="6"/>
  <c r="AM65" i="6"/>
  <c r="BF62" i="6"/>
  <c r="U62" i="6"/>
  <c r="N62" i="6"/>
  <c r="AM51" i="6"/>
  <c r="U51" i="6"/>
  <c r="N51" i="6"/>
  <c r="AM47" i="6"/>
  <c r="AM46" i="6"/>
  <c r="AM45" i="6"/>
  <c r="AM44" i="6"/>
  <c r="N44" i="6"/>
  <c r="AM43" i="6"/>
  <c r="AM42" i="6"/>
  <c r="BN39" i="6"/>
  <c r="BJ39" i="6"/>
  <c r="BF39" i="6"/>
  <c r="AU38" i="6"/>
  <c r="AM38" i="6"/>
  <c r="BF36" i="6"/>
  <c r="U36" i="6"/>
  <c r="N36" i="6"/>
  <c r="BB24" i="6"/>
  <c r="AT24" i="6"/>
  <c r="AM24" i="6"/>
  <c r="AF24" i="6"/>
  <c r="Y24" i="6"/>
  <c r="R24" i="6"/>
  <c r="K24" i="6"/>
  <c r="D24" i="6"/>
  <c r="BG11" i="6"/>
  <c r="AO11" i="6"/>
  <c r="U11" i="6"/>
  <c r="C11" i="6"/>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<sst xmlns="http://schemas.openxmlformats.org/spreadsheetml/2006/main" count="2992" uniqueCount="85">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</sst>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31">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cellXfs>
  <cellStyles count="1">
    <cellStyle name="標準" xfId="0" builtinId="0"/>
  </cellStyles>
  <dxfs count="3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3" Type="http://schemas.openxmlformats.org/officeDocument/2006/relationships/worksheet" Target="worksheets/sheet13.xml" />
  <Relationship Id="rId18" Type="http://schemas.openxmlformats.org/officeDocument/2006/relationships/externalLink" Target="externalLinks/externalLink2.xml" />
  <Relationship Id="rId26" Type="http://schemas.openxmlformats.org/officeDocument/2006/relationships/externalLink" Target="externalLinks/externalLink10.xml" />
  <Relationship Id="rId3" Type="http://schemas.openxmlformats.org/officeDocument/2006/relationships/worksheet" Target="worksheets/sheet3.xml" />
  <Relationship Id="rId21" Type="http://schemas.openxmlformats.org/officeDocument/2006/relationships/externalLink" Target="externalLinks/externalLink5.xml" />
  <Relationship Id="rId34" Type="http://schemas.openxmlformats.org/officeDocument/2006/relationships/styles" Target="styles.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externalLink" Target="externalLinks/externalLink1.xml" />
  <Relationship Id="rId25" Type="http://schemas.openxmlformats.org/officeDocument/2006/relationships/externalLink" Target="externalLinks/externalLink9.xml" />
  <Relationship Id="rId33" Type="http://schemas.openxmlformats.org/officeDocument/2006/relationships/theme" Target="theme/theme1.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externalLink" Target="externalLinks/externalLink4.xml" />
  <Relationship Id="rId29" Type="http://schemas.openxmlformats.org/officeDocument/2006/relationships/externalLink" Target="externalLinks/externalLink13.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externalLink" Target="externalLinks/externalLink8.xml" />
  <Relationship Id="rId32" Type="http://schemas.openxmlformats.org/officeDocument/2006/relationships/externalLink" Target="externalLinks/externalLink16.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externalLink" Target="externalLinks/externalLink7.xml" />
  <Relationship Id="rId28" Type="http://schemas.openxmlformats.org/officeDocument/2006/relationships/externalLink" Target="externalLinks/externalLink12.xml" />
  <Relationship Id="rId36" Type="http://schemas.openxmlformats.org/officeDocument/2006/relationships/calcChain" Target="calcChain.xml" />
  <Relationship Id="rId10" Type="http://schemas.openxmlformats.org/officeDocument/2006/relationships/worksheet" Target="worksheets/sheet10.xml" />
  <Relationship Id="rId19" Type="http://schemas.openxmlformats.org/officeDocument/2006/relationships/externalLink" Target="externalLinks/externalLink3.xml" />
  <Relationship Id="rId31" Type="http://schemas.openxmlformats.org/officeDocument/2006/relationships/externalLink" Target="externalLinks/externalLink15.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externalLink" Target="externalLinks/externalLink6.xml" />
  <Relationship Id="rId27" Type="http://schemas.openxmlformats.org/officeDocument/2006/relationships/externalLink" Target="externalLinks/externalLink11.xml" />
  <Relationship Id="rId30" Type="http://schemas.openxmlformats.org/officeDocument/2006/relationships/externalLink" Target="externalLinks/externalLink14.xml" />
  <Relationship Id="rId35" Type="http://schemas.openxmlformats.org/officeDocument/2006/relationships/sharedStrings" Target="sharedStrings.xml" />
  <Relationship Id="rId8" Type="http://schemas.openxmlformats.org/officeDocument/2006/relationships/worksheet" Target="worksheets/sheet8.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943A5B8-B954-46C7-AB91-FC003106687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9B8894E-3D22-4D83-8414-01E05E22B62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70DB1A9-990E-45F3-990E-548107BD5A8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9A7296FB-B97B-4FAA-8419-FADE27A01DD3}"/>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42BFA53-B6D5-4221-96F3-5D562DD67C1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3CB5F99-26AE-42AC-800D-C3FBEE43EE58}"/>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41E08C9C-C778-4A5C-A72D-AD7AE0863540}"/>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48AF8252-024B-47DB-B534-B5499DDAB697}"/>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215A0AC1-B160-4F8F-85A2-99C345A2E031}"/>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F339A20C-C458-47D7-AA98-84F0E92CFB2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28F76C68-DA85-4105-B282-434B1275C4A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D74A3F5-3B3C-4B00-B44B-E6492A44ED29}"/>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9B558A9-CEA6-47DF-A312-F0E16EB949DB}"/>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7810B5B-28D2-413D-B2CD-ADFE44A9AFE5}"/>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9E86D65-AA2C-4D85-A144-56D7341C1C9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7B7C8EF7-7196-4124-A28B-DE967BEC602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035503B-BC2A-4B95-9080-D702D42373D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5D46B9D6-29A8-44F1-9D73-AFCDE95673C5}"/>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CAD25E6E-31B9-4D25-9A57-233D2ADC697E}"/>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C838B4C0-3722-44F8-BB22-F03EBD8AA73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4CC510D-D9AA-4DB4-8DCE-B91E66C22793}"/>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7119F1FF-079F-4CE8-A0F4-5F0125CA144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7C5CE3D3-388A-4986-AC77-BBC229B87D5A}"/>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927A45E-B2BA-45DA-BD00-7A2E227E4330}"/>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DA6C60B5-5C5E-41B2-A622-C92ED09284B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616AA7B-D80D-4A7F-B175-9EF1794ED1F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5EFB0E-C4F9-4524-A631-26711D20FD5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FBC3538-F80E-4BDD-A305-B721D8E5578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04D0CB3-EF0D-42BC-BFCB-26DBBFACC5BC}"/>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234C076-9DB0-40B3-8420-CB8ADAC554A5}"/>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EA17398-EFA6-465D-80DF-7C497ED7F7F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3D614B97-A1E6-40C6-8191-5C04D3C7F79B}"/>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4A8FC44E-C7AD-4C0D-BF70-C79FD07F6A30}"/>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8A96AB3-44A0-43D7-914D-6970FD8BE74A}"/>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A57A4F6B-86ED-498B-B6C9-24B06D19C988}"/>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6651CF0-6953-4B45-9B88-970D97A0F69E}"/>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A1E1BAD4-CB44-4880-8587-E470DB988C0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8097581-9F95-4F4B-B74A-5AF26975E583}"/>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0F3A029-4B99-49BD-9C38-C13A11C08256}"/>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9E4D4F89-157B-46A5-9EDF-766B6E94416F}"/>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A52D5729-E16B-4EA6-8A01-14ED18C2FA23}"/>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1D3A95D1-1ACA-49EA-B271-58C968C7AFA7}"/>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905A000-BA61-4A64-802C-C08098C94A23}"/>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6A6C1049-A464-4E1F-99C0-B540BA293410}"/>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C279D5D4-46E6-4DB7-8665-0B336C4BB6B0}"/>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C8FB1C18-8605-474A-ADBB-CFE0D56FEE58}"/>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A629750-0393-4D04-AC25-70888C432C4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3FA9D609-1959-448D-9DCA-72315F32B575}"/>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A0CCA27-0202-405F-A3E3-EFA7AA3738F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8AAB74EF-21C7-431A-A5CB-80FF1C6531D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3E05594-5B6E-400D-A834-D3EE73A0177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B2E719C-85B0-449C-BA3C-76BA348FDF7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337EB03-AB74-406A-B377-D755CCCF05B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74A70718-7327-4E73-A94C-94CD4F4F93A3}"/>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35B05DC-76A7-4E61-93FD-F2DECFBDF78E}"/>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365FFED8-E675-49AC-9766-394BBD74E332}"/>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D84C41B1-BA1A-4E55-B2AB-02CDEE2C8FF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4A6614EE-C2BC-4C1A-A7D0-E72A2E73A2DD}"/>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7CFF658-7614-454B-A81F-8F221C342F1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6601BFBD-8F08-4138-A3A9-601D9D5C30A7}"/>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26E40D6F-76A7-45DF-A306-CFB852F9614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F5248464-30F6-4720-B78C-814F190983E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7689285-B759-46BE-BEEE-286C5F88792B}"/>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9E18F1A1-26FC-4DE9-B514-71D42BE2C09A}"/>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A79650A-B590-481C-8D0A-C73069D52A4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34C2E11-9E6D-48D7-A058-3AAC60E0B7EB}"/>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F681BC5-DCF3-4EBC-9CA4-77BC88A762BB}"/>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8F208529-5685-4239-BE01-B80810D8FE6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FD6E0285-A90D-4DE4-9A48-1C04F6395BF0}"/>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E8BEC698-FAB0-4633-A056-B1D4F3B2DA55}"/>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05F567FA-72A4-40CF-BC27-2AA69AFC1462}"/>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0F2FD6D7-77E1-4CA9-9C19-2F45643BA0CC}"/>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4811D5F4-4F2C-4CD2-B762-D37E3F782888}"/>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E4E6182-F96A-40B6-8DFC-046FD5CB123F}"/>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5DC96546-B512-4CF2-8B7F-4C9EA29266D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2F3D749-795A-4186-ADCD-0FE1E4C1F25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161EB45-D1C9-4323-992E-BD48A20F87B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826A657-7868-41C7-8496-441435AB462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4ADBC6B-B193-466A-A4B5-6D98216C169E}"/>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4B8BDEB-6F23-4A56-A5CF-C7ABF97EF67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2205357E-5BFE-492A-A023-2D78F05BF709}"/>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6332395D-48F5-4011-8412-784714D02AC7}"/>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AC294B9B-C487-4799-878C-69390ADB7F4D}"/>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027FBE11-5A06-441A-B3BD-5966A04ED6EC}"/>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1575976-EF7C-4911-8940-BE49C8D41946}"/>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CD0EB657-1E1E-443E-9E89-CD15B5A71D80}"/>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80D05D2D-67CA-4BC1-AD91-E5544136B0F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EC4B842-7C3A-4E83-8FBD-704D12026F86}"/>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66D4FD9C-B2EF-498D-A1CA-E80DBD6110B9}"/>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B914CEB2-9B1E-49D0-967E-FF46BA04A197}"/>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B23EF574-C21E-4F53-9108-4F1D5A734235}"/>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C927C54-3AC3-427B-8AC4-3AAFB79DD370}"/>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24A9FD82-8387-4BBE-AC68-4244F33BD74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582104F3-E452-4489-8403-EC2BC9D8D41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CBBD40AA-CBE5-4158-8E60-92A57C696431}"/>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E0615FD8-2DB1-4473-885C-8E732B70B6D9}"/>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3065175-9CC6-493B-AEA6-E65882ED54B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DA675C2F-F6B8-4F5F-8D00-DD7F6C54970C}"/>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1E3987A5-E366-4A4F-8282-E12D5C58EEC0}"/>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890D8AB-10F8-4F53-91B7-2C946B016150}"/>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6C039B0-5332-44FC-91BD-FE158296838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A4C6793-8116-4732-9798-519731A8755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0E8AB18-E588-41C1-8658-86F05F787FF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E244E5A-E727-4290-ACDC-08E43E37BE03}"/>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F54A56B-CDC0-40E3-9BB1-AAC56C2BE665}"/>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06EFC40-CDBD-4826-B56E-4A2483A44DC8}"/>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B66CFEBA-2D47-4DEE-A096-6784684ECEB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C03629A4-275D-4824-B22A-59837C255C9F}"/>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72FCD77B-2487-47B1-A7E4-B73BBDBCBDFB}"/>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546CFB4-4D75-4EAB-BBC2-D2BD731995E3}"/>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F8A88092-34B6-4417-9C0D-C1B7D6CC26E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ACEC5C47-1C21-44E5-B08B-A4A2C0206A5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F92329BE-C26F-44B6-A9F8-166DFAD34C8E}"/>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AA3721B6-8473-436C-A226-219C6BEC4E2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26C1294A-871A-4626-BDE8-F7C0E9405772}"/>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E3621EB-BB28-4C2C-A6BF-4106316B47D8}"/>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D5E9A15F-740A-4DAF-9EDB-AAC394069BB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0675FBA4-75BD-408C-9259-F7D37722268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43E2F33-13E3-4F50-8A70-D3AC236B7B5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6D41845C-3983-4318-8BB6-D299613F0578}"/>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82A1917F-DBB6-4436-85CB-41E7FE820461}"/>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1A206AB4-A2B2-4731-B676-807B976ECED9}"/>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E09CA93E-1769-44C4-B910-A4B245D7F109}"/>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40EF0EB-8D87-48F2-A49F-AA7CF6823F8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E817162-2099-423F-A6EC-D4C0E9D53F08}"/>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26D9243-FD5A-4752-930D-668DA9006BA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6DEBFBB-BCE8-4CAF-BB12-D9C1C1887AB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705C1D1-2837-41F4-8BEE-972A4F5316B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7A3108B-C880-4D7C-AACA-610030E0612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09440E1-0C9F-4747-9253-26968122AA89}"/>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33C2D5A3-471B-40A7-A6B8-A992D914106D}"/>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A62F386C-EFBB-44CD-8B45-D59AA8C81288}"/>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8AC76276-523C-418E-810C-8D2D07976865}"/>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78B0AF15-1D1C-4958-8346-B0D6D5DCD8E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20808C12-EF49-44D9-AA2E-975F6D396907}"/>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8DC477F0-6E1B-438D-A3F7-9CF8B5C1C1B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578FDCE3-18A0-4608-86DE-5970A8F5B866}"/>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52205ECA-EF7B-4012-B3F9-F953EF8DAB3A}"/>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3F7B3AC0-2E1A-4613-8EEC-6E590B21A9E7}"/>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E8ACDAD9-395B-4105-8A5F-1E6ED79B0929}"/>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0E463BA-D6BD-44A3-A53A-CCA45F9AF978}"/>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8A56F001-E09D-4D1E-964C-519643871CF1}"/>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26684527-AC71-45D5-ACA3-6A095027C5F7}"/>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15A646D7-C5B3-4D31-A237-5492EE20A204}"/>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4A4F6DF-629B-4942-879A-BAFD1AE135DC}"/>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66380A5-9E81-4F69-A91A-FBB7D5CDEEFF}"/>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B6C136F7-F3CB-4B22-904C-0797514EFCC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78B2E893-867A-48BA-8DD2-C79716FBF7F2}"/>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39C5AC31-A4E2-4EED-9367-2C0AD02CBC34}"/>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67F25CC5-0D63-4366-894F-03979A7B8E26}"/>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5106E47-D466-48E8-B886-657E4B94EA3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2F2180D-5346-4F04-8CD4-B1388E590B4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84B30FC-E031-4298-BAAE-E58A3BAF871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CB8E60C-E07C-4916-9BF2-B35F13ED9199}"/>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66A4C92-AA87-44A1-B359-1B55ABB2C9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98BEFF45-83F0-4DA4-8B90-079C83A60CE4}"/>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0E3E65E8-D54D-4883-AC5B-7BEB8E9D2CAF}"/>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9BC107F-6B22-4900-B5CF-6A2CA7E50F30}"/>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B752ADC9-2C3C-4820-A57C-5810F90FBC0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675CE442-91E8-4AB9-BCD4-27F5C535CF9C}"/>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9A44C3BC-33A5-4A70-B8FE-E6EAA3DF9654}"/>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EB6069C-61F4-4328-B7DC-730B91105E4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7B0620CE-4E81-4DFD-8CEF-FE0D7B4FF79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AAFEBB7-134C-408E-9A9B-A3DB13A76D6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393CB6C-514C-417A-962E-4E7FB4DD079B}"/>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C3991996-24C8-4DBF-85F7-C40F446610D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C6DE1FF-81A1-4E4B-BAE6-6107BFB3A87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59BA645C-0A0F-485A-9363-15CC319270D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7FBC2987-C7A8-4C03-A0D0-EBA33021810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4810888-60DD-44A0-B7D2-44D6884DC19B}"/>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D4C5B19D-7A4A-410E-AD0B-8396A6AD2F71}"/>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CB6AE750-EA0C-426C-A6E9-A0ABF62D8FF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179CA79D-51AA-4E80-BE3E-EE9D68496325}"/>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425D0D4-001A-4621-AEC8-B95BD768D90D}"/>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40992DCF-7926-4621-B70D-292499952B96}"/>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1C9F740-68E1-4511-AF8A-93C7E703A66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234C6C0-DF43-4968-A571-3B3677EB658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5C58623-AA46-4924-988F-E0230875552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5175C14-7DB6-4C60-9143-36C94F3A75CA}"/>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EDBF9E7-F653-47EE-9743-439E7A31705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B120A98F-A0FB-4862-A4CB-B2F371D6EDB4}"/>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BABF5D23-AC83-4DEF-8737-9D7C3C6AF33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FA3584E-4C94-43BB-8743-A78B4CAADF6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462EFDDD-BD67-4CC0-A9C5-377E9BB3BE2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C817AD2-5725-4E3A-8E6B-CE186F33D58C}"/>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BE03D33-DEEB-4AB3-AAEA-68CD4D06FF98}"/>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0199AC97-B81E-4991-BDA8-A72E27251A87}"/>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383FF019-C00E-4C6E-8FFE-54B463633500}"/>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6587F679-33C2-401F-BEE1-09C52CAE770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B6153A16-6E2B-4B9D-92F1-F144A8059D4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67A16506-0429-4A6C-B0B1-AC73CF8EAFCE}"/>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061420BF-25C6-4B18-A4B5-839E7D66AF3F}"/>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5507865-7BC4-46FC-A410-0C0F0A0242E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0BBA4F50-49ED-4582-8713-0D4AE72556C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F7F37F6E-0A5B-424C-8556-B0839013A14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D3E1BCFC-4EC5-4C4A-BE64-38E3FE9AF344}"/>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0A6419F0-2D68-4BDD-B72D-198562D4401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8BE6EC81-3997-4537-825D-1D86B6CF4312}"/>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476DA03-55CA-4C41-B50A-FA6F01907E56}"/>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EF6F8804-6CDD-47D1-BA3B-1AF8E428B920}"/>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7B68439-649D-4729-BFAB-318D1491426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CCF2E3A-C363-49F1-94EF-3DA0D446559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A74D186-79E3-45C0-A490-9726D7E2D42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293070D-4D36-4785-8750-F9092D3A1FF3}"/>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4C6378A-45CD-441E-AEAF-B22A886F93CF}"/>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FBC5CFB-29DD-4C2E-A6B3-35E3BCE5692C}"/>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35A7A74E-F95B-4030-8D3E-2814A424701B}"/>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B7BA087-885B-4C27-8B7C-513F0504303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2D86A91A-A055-47D7-9BB5-6EF615065080}"/>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76A37BB-2FF1-4271-91F7-68F1289ECFC2}"/>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6A9B2DB-E579-4298-AC96-F22164EEF67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5B69FD74-26EA-4E5C-AB26-4100D4FC1EE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5FF3980-D396-4F03-9E75-8240F267DE01}"/>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6651A359-2C55-4329-A712-371335116CDF}"/>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3C1FEDC5-DF19-4C70-93A1-C91C0DFC8C00}"/>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D05BAF1-AA3A-4F97-989C-A75A31333B72}"/>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896BD06F-6327-4EE1-85F1-CC76FE2370D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8DEAAC1A-4231-4C5A-AB87-459769EA266C}"/>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2FF7BB6D-115A-47FD-9C32-C26434431811}"/>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6A357F4-6945-4423-8121-C92FAD2C2B6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AD894FF4-B1D0-4EB9-AB8D-48187752DA4E}"/>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17707E9-E64A-44B5-89B9-849A0A5768FF}"/>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FC5678BE-64D0-498A-BE02-3DC609E5B4DB}"/>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E0F65B3C-714F-4205-99E7-AF92E8DCE2AF}"/>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ABF044D-E2B3-457A-BB1C-BC0075627E90}"/>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0B308B3-B30E-444E-84FA-82DF26C5DBA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70D1929-08C8-42F7-A55E-434D62F1C27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0233CE6-A920-4B46-9B2D-20B6FE5BF74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C655D6D-91F5-41B8-AF85-41FA1AFBD093}"/>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47B62D5-0B82-4CB4-941A-3304002C112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E26AE0C0-F876-48F5-878B-5F5496175041}"/>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8E7C379-7564-4791-8FCC-59661745B92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B019E66E-9F5F-4CF6-ACEB-F1E29ED5893D}"/>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00FCA2A7-DF14-49F5-9FDD-E2EDAB95D1AF}"/>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C03A21B-20D3-4E37-BF0F-D11043641126}"/>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1525CA3F-8524-4135-9ABF-8310F17E962A}"/>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B1FD664-E4FF-408A-8EED-2BA50FA02DB8}"/>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9BB59B6A-AA7C-4FAE-B457-5BC9E643E5B1}"/>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FCB0B837-8916-4DAA-A36F-5C8D67ECA11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931E2DA1-9EEB-4D25-9C7C-2BEE73A9A6A1}"/>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9FEC803-21D4-4565-9267-23CB96A5068A}"/>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E6B3BB07-B12F-4D1E-9021-6484469BFC81}"/>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83B97AEC-C03C-46B0-9066-091F6F2DF0E1}"/>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EB0392F9-0B42-4C93-B189-79AF9089B8A2}"/>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52F361A6-D5BB-4A85-AB07-B768D6D0C1F0}"/>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1B0530B0-1458-4B84-BC4B-35B10EF176B2}"/>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961EF84-F3D4-46E8-94B9-A2A990CB3AB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9C07B990-D52A-4B7D-868F-80DF82F4C7D9}"/>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89432AD-AA6B-4C34-813B-B9DD3540A27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D38AD50B-5831-410B-B653-65D4374CFD15}"/>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38668AD-5287-4052-A24D-BE0E2F42E95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DD5CCDD-FC98-4A75-8813-F5456219BE8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42EE886-FDEE-42AB-8DD4-5FA960E66ED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A1DE0844-A697-4B63-AFAA-6326A04B95EF}"/>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618752E-F83D-4E1A-B9C5-EF381DB4326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31A787F1-AD50-402D-9386-360CE4B54179}"/>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BBD69339-C993-4A51-8301-B6A78FACFE1D}"/>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EA0B779C-2366-4A37-A3EF-E3C95A9E0524}"/>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425A2F99-B8EE-4C0F-ACD2-51A032D381F6}"/>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1BEA04B4-CA2C-479F-A5DD-D8D1590CE936}"/>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BEDE3E4-31DF-4532-84A7-3417E278FCA0}"/>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9BDE3A8D-51D6-48D7-8BF4-E97DF55D4BDD}"/>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D019524E-2F4F-4F56-A38C-08FD0233855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B8CC5B62-E8E8-4296-8510-D905C6A9EA5F}"/>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A7B1C00F-8B24-4176-88DC-280E86656F88}"/>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6EB49300-FC63-4A4B-9B02-AC051246BDF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F65CD77B-B7A1-4862-9157-7F3EA549775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833F75B7-EAAB-4C63-9F5E-B0ECFF00872E}"/>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570091B5-27D0-40CC-94BD-2666EAF4465E}"/>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A78FD62-3AFC-413F-B909-ED23700B78FD}"/>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02BA931-30D4-46C8-A2B9-ED53B448CC15}"/>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2D0B22C3-2367-41C3-82F7-293BA1A055F7}"/>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B23872B2-B2DC-4266-8261-960D6F6A7BE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88B9DEC2-EFA2-4B7F-A219-85F18B956B55}"/>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B03F720-5355-4AFF-B2A2-8EC49300FA31}"/>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1FBCF88-BA61-4446-B18E-36E9D30BA6F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C52E90B-8C35-44A1-844E-E67D9A6E79D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43A31C6-88FF-45CD-8412-6C4461DB7BD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67D080FB-50CE-4EBC-BCC4-1D89F7D5EF46}"/>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2D3016FA-C82D-4783-8C4C-A93BE046BEF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4D51BF6C-4C38-488D-AFD5-27F57D5D3C21}"/>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B9B98653-A060-40A4-B2C2-7F21143FCE8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54364269-3602-4627-90B2-871D206E001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0B97155E-E39B-4E52-9A61-9BE201A41F1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7F0E11DB-1486-430A-BB4A-3E5351DF0C51}"/>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C2D5F298-07A0-4377-B5C4-0E0C8FA00556}"/>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A301F997-A219-424B-A95E-340E3504A52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A65EBCA-AB9E-4A5D-8D53-70CB6DA84E8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858FE67-3956-470B-95C9-522E00C02F1E}"/>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89BAAC00-5A72-41C5-A693-2ABC7FC2416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197D1CF8-2D24-47A9-A259-1B88E7E53AF0}"/>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21176347-5A2D-4117-ABB7-DE59102F6800}"/>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C9E25C5C-AFF5-4F70-AD25-9D9ADAA6E64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A3016741-9CA7-45F2-BAAC-D3173D32BD93}"/>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B98DA05-21A7-4286-A40E-315DE64D658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DD90C21-EF99-4AE8-AB04-DBFFCBA561E5}"/>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12F90D9-ECA8-465D-B813-BF47C67F550A}"/>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BFC98045-32F4-4A26-856D-2D6A7B599C3F}"/>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7C7AB60-E75F-42B3-AF9A-8247A4DA99E8}"/>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C20EA04A-0789-4BE2-8770-07CB6EDDA6E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33F0F4C-0924-4D5D-B4CF-4509030DE44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B1F5ECF-9757-43B4-BE24-B7C7C90E057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2DB259B-1347-46C5-987A-AE2EF2C8061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CC5346C9-6752-438C-B907-B304C6FC6D7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C2DA88A-B690-4063-8B9E-5AFD96645BD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655B82A-1873-458D-9AC2-C6505211A2AE}"/>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72784FAA-45CC-4623-A5C1-096E0B5D95AF}"/>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F62C65A1-6752-4CCE-B110-946FC15C331B}"/>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A5E17ECE-54C6-403C-B46E-00380CED4E6A}"/>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9B2751D-3504-41D9-8444-291BA4D1E4AD}"/>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F3579994-5B89-49F6-82CC-3BF0FF446A4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EEF7BEB6-4E08-4E84-9E98-41FA902D8F6E}"/>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D8A3A354-AC34-428A-B438-ADFA74E92085}"/>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B6C45157-BC1C-4F73-A373-442E49B776DD}"/>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7EA336C6-4197-4B48-A8DC-E4F28ABC96F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2C77BE69-6875-4737-8C89-AC20566B46F0}"/>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7E1D8DC8-A001-42E8-BAF0-880E3ED1CF4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A13BBE86-4149-4B72-9349-40B35B99BE3F}"/>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FF3C55F2-CF17-40CF-BD67-DCBA640F9169}"/>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B1D9AFD4-E26F-4270-BB00-C22E43597C4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899690D-BC03-49EC-9B88-BC81A79B346F}"/>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AC827B1-3D86-41F2-8006-F996A9841983}"/>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62A38634-0871-4F04-91B3-EB83C2622327}"/>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2497F4D-C100-46EC-BA11-D15307627B84}"/>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67F04CA-ACF1-45AC-9207-96C13704A26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4E5FB0E-BE1A-4875-AC69-0C4401B8B6C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56858DB-1EEA-4286-91B7-4A32379B4C3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AF0C1E7-4BE2-430E-ADA7-160603207C5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71903674-5BE8-411A-9E40-C26D04E1F309}"/>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DD46B5F-AEF9-41AD-A7D2-8D5888DE1D2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9CAA7FC8-0F75-4FBA-AD47-4B323B8121D9}"/>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178389BE-8763-4A83-B10A-B026FB8573A0}"/>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5834B527-E4DA-4ED2-9D98-CECB708914A1}"/>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306F0AD-58A8-43D3-9776-32F1324FAED5}"/>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1E47B101-E4AB-493E-BDD8-253FED2CFA67}"/>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71335E1-6B6E-4FAA-816D-8F4FA300F0C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869B082A-8CF9-444D-B63F-B0BAFB7920F5}"/>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AD4D4B1-FC14-4954-BDC6-25BD62B37DDB}"/>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968C585-1A99-4711-B9E2-8C5DF5095DB4}"/>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D63EB087-5EAE-487D-9C5A-F9141C8BF1DC}"/>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52E019A4-45E6-4799-8FAF-873F775E38CF}"/>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BDD34B1-FF58-4CD7-A164-EAA5168FF57F}"/>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03D8A103-C6C2-4180-9F31-D52771B023F5}"/>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E5805EE-1533-4D9F-B786-352721463B9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0FE47FF9-2D9C-4E52-8A21-F7586F9665FE}"/>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1329DF90-E196-4479-94F0-7D2C04172E5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2B690E8-E4F9-4555-A10F-6A147A966BFD}"/>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EAE7BA03-9001-4636-ADBD-864849CC093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BE0E268-4BAB-4B41-9DB7-BCD1EC573B96}"/>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5B29E58-0427-4E00-AED9-60D60A713DBE}"/>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E1CC141-61D5-4A19-9375-7FAE8A566CC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C5CF9BF-24CE-4579-8646-3B04796A752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853F8A9-ABF8-4455-BFA9-7E1B31CE624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7F24916-2621-40E9-BA4A-72B74894742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D8FBA1B-C824-4ED2-92EC-FC5363CA303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18F8C44F-9F91-418E-A535-7EAA8C6A19B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1025B0C-BD58-4A2E-AF7E-5CD83D95C1D6}"/>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5E46DDCD-F085-4471-8643-6D5E9FA1D524}"/>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287E04E-73C4-49C2-A4F8-C43431F99EAE}"/>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E02342A6-7E33-4520-8D64-8EB4D8C2938A}"/>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5B56940C-A7FA-4598-991A-554D74AD4AF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BBB4D172-6AD0-4B8D-8881-36028775D3A6}"/>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3B349AE-289F-4A94-9695-D92AE731613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34BC08A-B3FD-48A3-BEAB-64AFBEC59404}"/>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61B15F58-DF12-4322-A3B0-B09368B5D14C}"/>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0CA6C3E1-05D1-4FAD-9108-64D967CA3871}"/>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7D6562A-E452-475A-A20A-C52818E16051}"/>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E8D1FA3-3DF9-4D96-ABC5-2D307F2B695A}"/>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B17C6446-7C3B-4CF6-B1CD-F794C5A24D4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24123E2-8ACD-42C6-A5A3-CEAA5B53ED34}"/>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8F0F2C79-9A9C-4AC0-AA22-B667C5EF4A31}"/>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F0A9EBB-F68D-450D-94B0-C982465FADC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84A19605-DA85-484B-B0E9-7DDBDD867A3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9946EB7-9A93-423B-A076-2FDE102A682D}"/>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72F1F094-89BC-4D57-973B-3814315BCED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EA683CD-699A-4586-82FC-94912B4978E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79C6B94-EC12-4FA3-9DEC-208725EC062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DB9A254-E418-42DC-9710-A31EB2ED7A5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03972376-EDEA-409F-90A6-3AFBEB1DD743}"/>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AC5361A-6FCF-4EE9-8565-0693D895B80A}"/>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5AF8E980-23C1-4ADE-B225-A7494AB8747A}"/>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963F8D5B-4925-4E94-B125-42DC39F179B6}"/>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84ECEC0-23F6-451E-981B-2AFF76C3ED92}"/>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68393D3-1E04-4F5F-A286-FF50C774FEEC}"/>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5228C2E-F241-4FC0-A83B-185D87249E2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310EFC7C-95BE-4D40-BD18-11282D815247}"/>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4C6C842E-D761-4BA9-B76E-9630D640CE28}"/>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FA408141-B6F3-4E39-8E2A-51B47F5776B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94856D7A-B8FF-4366-8170-316B3A376218}"/>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7888FA29-4F15-4850-96DE-CEAEC5368A58}"/>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E14087A7-568F-4879-B91B-941BCAFDC679}"/>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447181E-C01D-4804-A54C-1F0CB382774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4766515-81A4-42D8-926F-EB25D97BC46E}"/>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33133C2-25C4-4936-975D-2AF0DB409E0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B50B41CF-716A-450F-AB54-307F077F8B4B}"/>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7B5783A-4426-4F9E-90D2-45F7C1749F02}"/>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6C2E2AE-E1EF-4F38-84D3-AD2C89A3462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C2F2816-1848-46E5-A3D4-FE6E03F81E78}"/>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B8666AA1-D3BE-44FC-AB15-13B41B0E5127}"/>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2DB337B-67F4-47D7-BA39-82690B45DC29}"/>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0.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7.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8.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9.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水道事業</v>
          </cell>
          <cell r="W17" t="str">
            <v>―</v>
          </cell>
          <cell r="BD17" t="str">
            <v>×</v>
          </cell>
        </row>
        <row r="19">
          <cell r="F19" t="str">
            <v>ー</v>
          </cell>
        </row>
        <row r="43">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6">
          <cell r="G66" t="str">
            <v xml:space="preserve"> </v>
          </cell>
          <cell r="V66" t="str">
            <v xml:space="preserve"> </v>
          </cell>
        </row>
        <row r="67">
          <cell r="V67" t="str">
            <v xml:space="preserve"> </v>
          </cell>
        </row>
        <row r="71">
          <cell r="O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当市水道事業は平成１７年３月に本荘、矢島、西目、鳥海の４地域の上水道を経営統合する形で創設され、平成１８年３月に由利地区簡易水道事業を譲り受けました。さらに、平成２９年３月には由利本荘市簡易水道事業の全部を譲り受ける事業統合をおこない現在に至っています。創設後は平成１７年度より黒字経営を続けており、現在累積欠損金はありません。
　今後はまず、給水人口が減少する中で料金改定を踏まえた料金収入の確保を行うとともに、施設・設備の廃止・統合を含めた効率的な施設の維持管理、その他経常費用の見直し等により経営の健全化を図っていきたいと考えております。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下水道事業</v>
          </cell>
          <cell r="W17" t="str">
            <v>簡易排水施設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令和2年4月1日より公営企業化し、昨年度、公共下水道事業や農業集落排水事業など8事業分をまとめた経営戦略を策定している。使用料収入は、年々減収し累積赤字が膨らむため使用料改定の検討を早期に行うこととしている。また、投資については生活排水整備構想のなかで施設の統廃合等を検討したものの有利な検討結果が得られないため、現段階では現行の経営体制・手法の継続とした。</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下水道事業</v>
          </cell>
          <cell r="W17" t="str">
            <v>個別排水処理施設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令和2年4月1日より公営企業化し、昨年度、公共下水道事業や農業集落排水事業など8事業分をまとめた経営戦略を策定している。使用料収入は、年々減収し累積赤字が膨らむため使用料改定の検討を早期に行うこととしている。また、投資については生活排水整備構想のなかで様々な検討したものの、現段階では現行の経営体制・手法が良いと判断した。</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観光施設事業</v>
          </cell>
          <cell r="W17" t="str">
            <v>索道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市ではスキー場運営について、令和２年度からの指定管理者制度への移行を目指し、令和元年度中に公募を行ったが応募がなかった。このため、説明会に参加された事業者に対し、応募できなかった理由等について聞き取りを行ったところ、「季節営業故に従業員や有資格者など人材確保が困難であることや、天候に著しく左右される事業であることなどを考慮し、事業展開は難しいと判断した。」との内容であった。その後、公募要件の見直しによる再公募を検討したものの、経費が膨れあがり、市としては財政的なメリットが皆無になることが判明したため、再公募を断念し今後も直営で継続することと判断したものである。（現在のスキー場運営は、安全統括管理者を市職員が兼務し、その他従業員を会計年度任用職員とするなど、最少の経費で運営しているため。）
なお、スキー場を取り巻く環境は、県内人口の減少や少子高齢化による来場者数の減少のほか、設備の更新・改修費用の捻出など、非常に厳しいものがあるが、本市唯一の本格スキー場としてその役割は大きいため、当面は住民ニーズの把握や事業効果の検証を通し、適切な設備投資と効率的な運営を念頭に直営で経営していくものであ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介護サービス事業</v>
          </cell>
          <cell r="W17" t="str">
            <v>指定介護老人福祉施設</v>
          </cell>
          <cell r="BD17" t="str">
            <v>●</v>
          </cell>
        </row>
        <row r="19">
          <cell r="F19" t="str">
            <v>介護サービス事業特別会計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特別養護老人ホーム「鳥寿苑」は、Ｈ28.4.1に指定管理を開始している。（Ｈ37年度末まで10年間）
特別養護老人ホーム「東光苑」は、Ｈ29.4.1から指定管理を開始している。（Ｈ37年度末まで9年間）
指定管理者は、両施設とも社会福祉法人由愛会であり、運営自体は良好である。</v>
          </cell>
        </row>
        <row r="313">
          <cell r="G313" t="str">
            <v xml:space="preserve"> </v>
          </cell>
          <cell r="U313" t="str">
            <v>平成</v>
          </cell>
          <cell r="X313">
            <v>28</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介護サービス事業</v>
          </cell>
          <cell r="W17" t="str">
            <v>老人デイサービスセンター</v>
          </cell>
          <cell r="BD17" t="str">
            <v>●</v>
          </cell>
        </row>
        <row r="19">
          <cell r="F19" t="str">
            <v>介護サービス事業特別会計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特別養護老人ホーム「鳥寿苑」は、Ｈ28.4.1に指定管理を開始している。（Ｈ37年度末まで10年間）
特別養護老人ホーム「東光苑」は、Ｈ29.4.1から指定管理を開始している。（Ｈ37年度末まで9年間）
指定管理者は、両施設とも社会福祉法人由愛会であり、運営自体は良好である。</v>
          </cell>
        </row>
        <row r="313">
          <cell r="G313" t="str">
            <v xml:space="preserve"> </v>
          </cell>
          <cell r="U313" t="str">
            <v>平成</v>
          </cell>
          <cell r="X313">
            <v>28</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介護サービス事業</v>
          </cell>
          <cell r="W17" t="str">
            <v>老人短期入所施設</v>
          </cell>
          <cell r="BD17" t="str">
            <v>●</v>
          </cell>
        </row>
        <row r="19">
          <cell r="F19" t="str">
            <v>介護サービス事業特別会計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特別養護老人ホーム「鳥寿苑」は、Ｈ28.4.1に指定管理を開始している。（Ｈ37年度末まで10年間）
特別養護老人ホーム「東光苑」は、Ｈ29.4.1から指定管理を開始している。（Ｈ37年度末まで9年間）
指定管理者は、両施設とも社会福祉法人由愛会であり、運営自体は良好である。</v>
          </cell>
        </row>
        <row r="313">
          <cell r="G313" t="str">
            <v xml:space="preserve"> </v>
          </cell>
          <cell r="U313" t="str">
            <v>平成</v>
          </cell>
          <cell r="X313">
            <v>28</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宅地造成事業</v>
          </cell>
          <cell r="W17" t="str">
            <v>その他造成</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事業を開始してまもなく（令和2年度事業開始）、事業自体が限定的であることや、事業期間も概ね5年程度と短期を見込んでいるため現行の体制・手法を継続することが適当と考えられる。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簡易水道事業</v>
          </cell>
          <cell r="W17" t="str">
            <v>―</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　平成２９年３月に由利本荘市上水道事業への事業統合をおこないました。
　これにより、経営成績（毎年度の利益・損失等フロー情報）・財政状態（資産・負債等ストック情報）の的確な把握が可能となりました。</v>
          </cell>
        </row>
        <row r="65">
          <cell r="G65" t="str">
            <v>●</v>
          </cell>
          <cell r="S65" t="str">
            <v>平成</v>
          </cell>
          <cell r="V65">
            <v>29</v>
          </cell>
        </row>
        <row r="66">
          <cell r="G66" t="str">
            <v xml:space="preserve"> </v>
          </cell>
          <cell r="V66">
            <v>3</v>
          </cell>
        </row>
        <row r="67">
          <cell r="V67">
            <v>31</v>
          </cell>
        </row>
        <row r="71">
          <cell r="O71" t="str">
            <v xml:space="preserve"> </v>
          </cell>
          <cell r="AG71" t="str">
            <v>●</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ガス事業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現在のところ、民営化する予定はないため、現行の体制を維持することが望ましいと考える。
ガス小売全面自由化により当市供給区域内に参入する小売り事業者の予定は今のところないが、今後参入の動きがあった場合、価格競争に対抗できるような料金設定を検討していかなければならない。</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58">
          <cell r="B158" t="str">
            <v>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23">
          <cell r="B223" t="str">
            <v>農業集落排水処理施設を廃止し、公共下水道処理施設に統合する計画で、令和2年度に統合工事を行っており、現段階の効果としては維持管理委託料、動力費など約２３０万円が減額を見込んでいる。今後も統廃合を進める予定であり、処理施設数が減ることで維持管理費用が減少すると見込んでい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 xml:space="preserve"> </v>
          </cell>
        </row>
        <row r="262">
          <cell r="Y262" t="str">
            <v>●</v>
          </cell>
        </row>
        <row r="264">
          <cell r="Y264" t="str">
            <v xml:space="preserve"> </v>
          </cell>
        </row>
        <row r="265">
          <cell r="Y265" t="str">
            <v xml:space="preserve"> </v>
          </cell>
        </row>
        <row r="266">
          <cell r="Y266" t="str">
            <v>●</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8">
          <cell r="B278" t="str">
            <v>令和</v>
          </cell>
          <cell r="E278">
            <v>3</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特定環境公共下水道処理施設を廃止し、公共下水道処理施設に統合する計画で、令和６年度に工事を行うこととしている。処理施設数が減ることで維持管理費用が減少すると見込んでいる。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v>
          </cell>
        </row>
        <row r="262">
          <cell r="Y262" t="str">
            <v xml:space="preserve"> </v>
          </cell>
        </row>
        <row r="264">
          <cell r="Y264" t="str">
            <v xml:space="preserve"> </v>
          </cell>
        </row>
        <row r="265">
          <cell r="Y265" t="str">
            <v xml:space="preserve"> </v>
          </cell>
        </row>
        <row r="266">
          <cell r="Y266" t="str">
            <v xml:space="preserve"> </v>
          </cell>
        </row>
        <row r="267">
          <cell r="Y267" t="str">
            <v>●</v>
          </cell>
        </row>
        <row r="268">
          <cell r="Y268" t="str">
            <v xml:space="preserve"> </v>
          </cell>
        </row>
        <row r="273">
          <cell r="Y273" t="str">
            <v xml:space="preserve"> </v>
          </cell>
        </row>
        <row r="274">
          <cell r="Y274" t="str">
            <v xml:space="preserve"> </v>
          </cell>
        </row>
        <row r="275">
          <cell r="Y275" t="str">
            <v xml:space="preserve"> </v>
          </cell>
        </row>
        <row r="278">
          <cell r="B278" t="str">
            <v>令和</v>
          </cell>
          <cell r="E278">
            <v>7</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58">
          <cell r="B158" t="str">
            <v>平成23年度～令和2年度まで5処理施設を廃止し近隣施設へ統合し、維持管理費約5,000千円の経費削減をしている。</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v>
          </cell>
        </row>
        <row r="196">
          <cell r="Y196" t="str">
            <v xml:space="preserve"> </v>
          </cell>
        </row>
        <row r="198">
          <cell r="Y198" t="str">
            <v xml:space="preserve"> </v>
          </cell>
        </row>
        <row r="199">
          <cell r="Y199" t="str">
            <v xml:space="preserve"> </v>
          </cell>
        </row>
        <row r="200">
          <cell r="Y200" t="str">
            <v>●</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2">
          <cell r="B212" t="str">
            <v>平成</v>
          </cell>
          <cell r="E212">
            <v>23</v>
          </cell>
        </row>
        <row r="213">
          <cell r="E213">
            <v>4</v>
          </cell>
        </row>
        <row r="214">
          <cell r="E214">
            <v>1</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2">
          <cell r="Y262" t="str">
            <v xml:space="preserve"> </v>
          </cell>
        </row>
        <row r="264">
          <cell r="Y264" t="str">
            <v xml:space="preserve"> </v>
          </cell>
        </row>
        <row r="265">
          <cell r="Y265" t="str">
            <v xml:space="preserve"> </v>
          </cell>
        </row>
        <row r="268">
          <cell r="Y268" t="str">
            <v xml:space="preserve"> </v>
          </cell>
        </row>
        <row r="273">
          <cell r="Y273" t="str">
            <v xml:space="preserve"> </v>
          </cell>
        </row>
        <row r="274">
          <cell r="Y274" t="str">
            <v xml:space="preserve"> </v>
          </cell>
        </row>
        <row r="275">
          <cell r="Y275"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下水道事業</v>
          </cell>
          <cell r="W17" t="str">
            <v>漁業集落排水施設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漁業集落排水施設を廃止し、農業集落排水処理施設に統合する計画で、令和１３年度に工事を行うこととしている。処理施設数が減ることで維持管理費用が減少すると見込んでいる。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v>
          </cell>
        </row>
        <row r="262">
          <cell r="Y262" t="str">
            <v xml:space="preserve"> </v>
          </cell>
        </row>
        <row r="264">
          <cell r="Y264" t="str">
            <v xml:space="preserve"> </v>
          </cell>
        </row>
        <row r="265">
          <cell r="Y265" t="str">
            <v xml:space="preserve"> </v>
          </cell>
        </row>
        <row r="266">
          <cell r="Y266" t="str">
            <v>●</v>
          </cell>
        </row>
        <row r="268">
          <cell r="Y268" t="str">
            <v xml:space="preserve"> </v>
          </cell>
        </row>
        <row r="273">
          <cell r="Y273" t="str">
            <v xml:space="preserve"> </v>
          </cell>
        </row>
        <row r="274">
          <cell r="Y274" t="str">
            <v xml:space="preserve"> </v>
          </cell>
        </row>
        <row r="275">
          <cell r="Y275" t="str">
            <v xml:space="preserve"> </v>
          </cell>
        </row>
        <row r="278">
          <cell r="B278" t="str">
            <v>令和</v>
          </cell>
          <cell r="E278">
            <v>14</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下水道事業</v>
          </cell>
          <cell r="W17" t="str">
            <v>小規模集合排水施設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令和2年4月1日より公営企業化し、昨年度、公共下水道事業や農業集落排水事業など8事業分をまとめた経営戦略を策定している。使用料収入は、年々減収し累積赤字が膨らむため使用料改定の検討を早期に行うこととしている。また、投資については生活排水整備構想のなかで施設の統廃合等を検討したものの有利な検討結果が得られないため、現段階では現行の経営体制・手法の継続とした。</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由利本荘市</v>
          </cell>
        </row>
        <row r="17">
          <cell r="F17" t="str">
            <v>下水道事業</v>
          </cell>
          <cell r="W17" t="str">
            <v>特定地域排水処理施設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令和2年4月1日より公営企業化し、昨年度、公共下水道事業や農業集落排水事業など8事業分をまとめた経営戦略を策定している。使用料収入は、年々減収し累積赤字が膨らむため使用料改定の検討を早期に行うこととしている。また、投資については生活排水整備構想のなかで様々な検討したものの、現段階では現行の経営体制・手法が良いと判断した。</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6.xml" />
  <Relationship Id="rId1" Type="http://schemas.openxmlformats.org/officeDocument/2006/relationships/printerSettings" Target="../printerSettings/printerSettings16.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CF2CB-BB63-4D2D-AFC1-94144D5365EE}">
  <sheetPr>
    <pageSetUpPr fitToPage="1"/>
  </sheetPr>
  <dimension ref="A1:CN315"/>
  <sheetViews>
    <sheetView showZeros="0" tabSelected="1" view="pageBreakPreview" zoomScale="60" zoomScaleNormal="55" workbookViewId="0">
      <selection activeCell="N102" sqref="N102"/>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由利本荘市</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当市水道事業は平成１７年３月に本荘、矢島、西目、鳥海の４地域の上水道を経営統合する形で創設され、平成１８年３月に由利地区簡易水道事業を譲り受けました。さらに、平成２９年３月には由利本荘市簡易水道事業の全部を譲り受ける事業統合をおこない現在に至っています。創設後は平成１７年度より黒字経営を続けており、現在累積欠損金はありません。
　今後はまず、給水人口が減少する中で料金改定を踏まえた料金収入の確保を行うとともに、施設・設備の廃止・統合を含めた効率的な施設の維持管理、その他経常費用の見直し等により経営の健全化を図っていきたいと考えております。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1" priority="2">
      <formula>$BB$25="○"</formula>
    </cfRule>
  </conditionalFormatting>
  <conditionalFormatting sqref="BD28:BD30">
    <cfRule type="expression" dxfId="3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AEE2B-836D-4F76-8951-FF1C8000D929}">
  <sheetPr>
    <pageSetUpPr fitToPage="1"/>
  </sheetPr>
  <dimension ref="A1:CN315"/>
  <sheetViews>
    <sheetView showZeros="0" view="pageBreakPreview" zoomScale="60" zoomScaleNormal="55" workbookViewId="0">
      <selection activeCell="D296" sqref="D296:BQ31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IF(COUNTIF([10]回答表!K15,"*")&gt;0,[10]回答表!K15,"")</f>
        <v>由利本荘市</v>
      </c>
      <c r="D11" s="8"/>
      <c r="E11" s="8"/>
      <c r="F11" s="8"/>
      <c r="G11" s="8"/>
      <c r="H11" s="8"/>
      <c r="I11" s="8"/>
      <c r="J11" s="8"/>
      <c r="K11" s="8"/>
      <c r="L11" s="8"/>
      <c r="M11" s="8"/>
      <c r="N11" s="8"/>
      <c r="O11" s="8"/>
      <c r="P11" s="8"/>
      <c r="Q11" s="8"/>
      <c r="R11" s="8"/>
      <c r="S11" s="8"/>
      <c r="T11" s="8"/>
      <c r="U11" s="22" t="str">
        <f>IF(COUNTIF([10]回答表!F17,"*")&gt;0,[10]回答表!F17,"")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IF(COUNTIF([10]回答表!W17,"*")&gt;0,[10]回答表!W17,"")</f>
        <v>簡易排水施設</v>
      </c>
      <c r="AP11" s="10"/>
      <c r="AQ11" s="10"/>
      <c r="AR11" s="10"/>
      <c r="AS11" s="10"/>
      <c r="AT11" s="10"/>
      <c r="AU11" s="10"/>
      <c r="AV11" s="10"/>
      <c r="AW11" s="10"/>
      <c r="AX11" s="10"/>
      <c r="AY11" s="10"/>
      <c r="AZ11" s="10"/>
      <c r="BA11" s="10"/>
      <c r="BB11" s="10"/>
      <c r="BC11" s="10"/>
      <c r="BD11" s="10"/>
      <c r="BE11" s="10"/>
      <c r="BF11" s="11"/>
      <c r="BG11" s="21" t="str">
        <f>IF(COUNTIF([10]回答表!F19,"*")&gt;0,[10]回答表!F19,"")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IF([10]回答表!R43="●","●","")</f>
        <v/>
      </c>
      <c r="E24" s="80"/>
      <c r="F24" s="80"/>
      <c r="G24" s="80"/>
      <c r="H24" s="80"/>
      <c r="I24" s="80"/>
      <c r="J24" s="81"/>
      <c r="K24" s="79" t="str">
        <f>IF([10]回答表!R44="●","●","")</f>
        <v/>
      </c>
      <c r="L24" s="80"/>
      <c r="M24" s="80"/>
      <c r="N24" s="80"/>
      <c r="O24" s="80"/>
      <c r="P24" s="80"/>
      <c r="Q24" s="81"/>
      <c r="R24" s="79" t="str">
        <f>IF([10]回答表!R45="●","●","")</f>
        <v/>
      </c>
      <c r="S24" s="80"/>
      <c r="T24" s="80"/>
      <c r="U24" s="80"/>
      <c r="V24" s="80"/>
      <c r="W24" s="80"/>
      <c r="X24" s="81"/>
      <c r="Y24" s="79" t="str">
        <f>IF([10]回答表!R46="●","●","")</f>
        <v/>
      </c>
      <c r="Z24" s="80"/>
      <c r="AA24" s="80"/>
      <c r="AB24" s="80"/>
      <c r="AC24" s="80"/>
      <c r="AD24" s="80"/>
      <c r="AE24" s="81"/>
      <c r="AF24" s="79" t="str">
        <f>IF([10]回答表!R47="●","●","")</f>
        <v/>
      </c>
      <c r="AG24" s="80"/>
      <c r="AH24" s="80"/>
      <c r="AI24" s="80"/>
      <c r="AJ24" s="80"/>
      <c r="AK24" s="80"/>
      <c r="AL24" s="81"/>
      <c r="AM24" s="79" t="str">
        <f>IF([10]回答表!R48="●","●","")</f>
        <v/>
      </c>
      <c r="AN24" s="80"/>
      <c r="AO24" s="80"/>
      <c r="AP24" s="80"/>
      <c r="AQ24" s="80"/>
      <c r="AR24" s="80"/>
      <c r="AS24" s="81"/>
      <c r="AT24" s="79" t="str">
        <f>IF([10]回答表!R49="●","●","")</f>
        <v/>
      </c>
      <c r="AU24" s="80"/>
      <c r="AV24" s="80"/>
      <c r="AW24" s="80"/>
      <c r="AX24" s="80"/>
      <c r="AY24" s="80"/>
      <c r="AZ24" s="81"/>
      <c r="BA24" s="68"/>
      <c r="BB24" s="82" t="str">
        <f>IF([10]回答表!R50="●","●","")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IF([10]回答表!X43="●","●","")</f>
        <v/>
      </c>
      <c r="O36" s="131"/>
      <c r="P36" s="131"/>
      <c r="Q36" s="132"/>
      <c r="R36" s="119"/>
      <c r="S36" s="119"/>
      <c r="T36" s="119"/>
      <c r="U36" s="133" t="str">
        <f>IF([10]回答表!X43="●",[10]回答表!B59,IF([10]回答表!AA43="●",[10]回答表!B79,""))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IF([10]回答表!X43="●",[10]回答表!S65,IF([10]回答表!AA43="●",[10]回答表!S85,""))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IF([10]回答表!X43="●",[10]回答表!G65,IF([10]回答表!AA43="●",[10]回答表!G85,""))</f>
        <v/>
      </c>
      <c r="AN38" s="83"/>
      <c r="AO38" s="83"/>
      <c r="AP38" s="83"/>
      <c r="AQ38" s="83"/>
      <c r="AR38" s="83"/>
      <c r="AS38" s="83"/>
      <c r="AT38" s="153"/>
      <c r="AU38" s="82" t="str">
        <f>IF([10]回答表!X43="●",[10]回答表!G66,IF([10]回答表!AA43="●",[10]回答表!G86,""))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IF([10]回答表!X43="●",[10]回答表!V65,IF([10]回答表!AA43="●",[10]回答表!V85,""))</f>
        <v/>
      </c>
      <c r="BG39" s="16"/>
      <c r="BH39" s="16"/>
      <c r="BI39" s="17"/>
      <c r="BJ39" s="150" t="str">
        <f>IF([10]回答表!X43="●",[10]回答表!V66,IF([10]回答表!AA43="●",[10]回答表!V86,""))</f>
        <v/>
      </c>
      <c r="BK39" s="16"/>
      <c r="BL39" s="16"/>
      <c r="BM39" s="17"/>
      <c r="BN39" s="150" t="str">
        <f>IF([10]回答表!X43="●",[10]回答表!V67,IF([10]回答表!AA43="●",[10]回答表!V87,""))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IF([10]回答表!X43="●",[10]回答表!O71,IF([10]回答表!AA43="●",[10]回答表!O91,""))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IF([10]回答表!X43="●",[10]回答表!O72,IF([10]回答表!AA43="●",[10]回答表!O92,""))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IF([10]回答表!AA43="●","●","")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IF([10]回答表!X43="●",[10]回答表!O73,IF([10]回答表!AA43="●",[10]回答表!O93,""))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IF([10]回答表!X43="●",[10]回答表!O74,IF([10]回答表!AA43="●",[10]回答表!O94,""))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IF([10]回答表!X43="●",[10]回答表!AG71,IF([10]回答表!AA43="●",[10]回答表!AG91,""))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IF([10]回答表!X43="●",[10]回答表!AG72,IF([10]回答表!AA43="●",[10]回答表!AG92,""))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IF([10]回答表!AD43="●","●","")</f>
        <v/>
      </c>
      <c r="O51" s="131"/>
      <c r="P51" s="131"/>
      <c r="Q51" s="132"/>
      <c r="R51" s="119"/>
      <c r="S51" s="119"/>
      <c r="T51" s="119"/>
      <c r="U51" s="133" t="str">
        <f>IF([10]回答表!AD43="●",[10]回答表!B99,"")</f>
        <v/>
      </c>
      <c r="V51" s="134"/>
      <c r="W51" s="134"/>
      <c r="X51" s="134"/>
      <c r="Y51" s="134"/>
      <c r="Z51" s="134"/>
      <c r="AA51" s="134"/>
      <c r="AB51" s="134"/>
      <c r="AC51" s="134"/>
      <c r="AD51" s="134"/>
      <c r="AE51" s="134"/>
      <c r="AF51" s="134"/>
      <c r="AG51" s="134"/>
      <c r="AH51" s="134"/>
      <c r="AI51" s="134"/>
      <c r="AJ51" s="135"/>
      <c r="AK51" s="183"/>
      <c r="AL51" s="183"/>
      <c r="AM51" s="133" t="str">
        <f>IF([10]回答表!AD43="●",[10]回答表!B104,"")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IF([10]回答表!X44="●","●","")</f>
        <v/>
      </c>
      <c r="O62" s="131"/>
      <c r="P62" s="131"/>
      <c r="Q62" s="132"/>
      <c r="R62" s="119"/>
      <c r="S62" s="119"/>
      <c r="T62" s="119"/>
      <c r="U62" s="133" t="str">
        <f>IF([10]回答表!X44="●",[10]回答表!B115,IF([10]回答表!AA44="●",[10]回答表!B127,""))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IF([10]回答表!X44="●",[10]回答表!S121,IF([10]回答表!AA44="●",[10]回答表!S133,""))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IF([10]回答表!X44="●",[10]回答表!J121,IF([10]回答表!AA44="●",[10]回答表!J133,""))</f>
        <v/>
      </c>
      <c r="AN65" s="83"/>
      <c r="AO65" s="83"/>
      <c r="AP65" s="83"/>
      <c r="AQ65" s="83"/>
      <c r="AR65" s="83"/>
      <c r="AS65" s="83"/>
      <c r="AT65" s="153"/>
      <c r="AU65" s="82" t="str">
        <f>IF([10]回答表!X44="●",[10]回答表!J122,IF([10]回答表!AA44="●",[10]回答表!J134,""))</f>
        <v/>
      </c>
      <c r="AV65" s="83"/>
      <c r="AW65" s="83"/>
      <c r="AX65" s="83"/>
      <c r="AY65" s="83"/>
      <c r="AZ65" s="83"/>
      <c r="BA65" s="83"/>
      <c r="BB65" s="153"/>
      <c r="BC65" s="120"/>
      <c r="BD65" s="109"/>
      <c r="BE65" s="109"/>
      <c r="BF65" s="150" t="str">
        <f>IF([10]回答表!X44="●",[10]回答表!V121,IF([10]回答表!AA44="●",[10]回答表!V133,""))</f>
        <v/>
      </c>
      <c r="BG65" s="151"/>
      <c r="BH65" s="151"/>
      <c r="BI65" s="151"/>
      <c r="BJ65" s="150" t="str">
        <f>IF([10]回答表!X44="●",[10]回答表!V122,IF([10]回答表!AA44="●",[10]回答表!V134,""))</f>
        <v/>
      </c>
      <c r="BK65" s="151"/>
      <c r="BL65" s="151"/>
      <c r="BM65" s="151"/>
      <c r="BN65" s="150" t="str">
        <f>IF([10]回答表!X44="●",[10]回答表!V123,IF([10]回答表!AA44="●",[10]回答表!V135,""))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IF([10]回答表!AA44="●","●","")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IF([10]回答表!AD44="●","●","")</f>
        <v/>
      </c>
      <c r="O74" s="131"/>
      <c r="P74" s="131"/>
      <c r="Q74" s="132"/>
      <c r="R74" s="119"/>
      <c r="S74" s="119"/>
      <c r="T74" s="119"/>
      <c r="U74" s="133" t="str">
        <f>IF([10]回答表!AD44="●",[10]回答表!B140,"")</f>
        <v/>
      </c>
      <c r="V74" s="134"/>
      <c r="W74" s="134"/>
      <c r="X74" s="134"/>
      <c r="Y74" s="134"/>
      <c r="Z74" s="134"/>
      <c r="AA74" s="134"/>
      <c r="AB74" s="134"/>
      <c r="AC74" s="134"/>
      <c r="AD74" s="134"/>
      <c r="AE74" s="134"/>
      <c r="AF74" s="134"/>
      <c r="AG74" s="134"/>
      <c r="AH74" s="134"/>
      <c r="AI74" s="134"/>
      <c r="AJ74" s="135"/>
      <c r="AK74" s="183"/>
      <c r="AL74" s="183"/>
      <c r="AM74" s="133" t="str">
        <f>IF([10]回答表!AD44="●",[10]回答表!B146,"")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IF([10]回答表!F17="水道事業",IF([10]回答表!X45="●","●",""),"")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IF([10]回答表!F17="水道事業",IF([10]回答表!X45="●",[10]回答表!B158,IF([10]回答表!AA45="●",[10]回答表!B223,"")),"")</f>
        <v/>
      </c>
      <c r="AN86" s="201"/>
      <c r="AO86" s="201"/>
      <c r="AP86" s="201"/>
      <c r="AQ86" s="201"/>
      <c r="AR86" s="201"/>
      <c r="AS86" s="201"/>
      <c r="AT86" s="201"/>
      <c r="AU86" s="201"/>
      <c r="AV86" s="201"/>
      <c r="AW86" s="201"/>
      <c r="AX86" s="201"/>
      <c r="AY86" s="201"/>
      <c r="AZ86" s="201"/>
      <c r="BA86" s="201"/>
      <c r="BB86" s="201"/>
      <c r="BC86" s="202"/>
      <c r="BD86" s="109"/>
      <c r="BE86" s="109"/>
      <c r="BF86" s="138" t="str">
        <f>IF([10]回答表!F17="水道事業",IF([10]回答表!X45="●",[10]回答表!B212,IF([10]回答表!AA45="●",[10]回答表!B278,"")),"")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IF([10]回答表!F17="水道事業",IF([10]回答表!X45="●",[10]回答表!J166,IF([10]回答表!AA45="●",[10]回答表!J231,"")),"")</f>
        <v/>
      </c>
      <c r="V88" s="83"/>
      <c r="W88" s="83"/>
      <c r="X88" s="83"/>
      <c r="Y88" s="83"/>
      <c r="Z88" s="83"/>
      <c r="AA88" s="83"/>
      <c r="AB88" s="153"/>
      <c r="AC88" s="82" t="str">
        <f>IF([10]回答表!F17="水道事業",IF([10]回答表!X45="●",[10]回答表!J173,IF([10]回答表!AA45="●",[10]回答表!J238,"")),"")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IF([10]回答表!F17="水道事業",IF([10]回答表!X45="●",[10]回答表!E212,IF([10]回答表!AA45="●",[10]回答表!E278,"")),"")</f>
        <v/>
      </c>
      <c r="BG89" s="151"/>
      <c r="BH89" s="151"/>
      <c r="BI89" s="151"/>
      <c r="BJ89" s="150" t="str">
        <f>IF([10]回答表!F17="水道事業",IF([10]回答表!X45="●",[10]回答表!E213,IF([10]回答表!AA45="●",[10]回答表!E279,"")),"")</f>
        <v/>
      </c>
      <c r="BK89" s="151"/>
      <c r="BL89" s="151"/>
      <c r="BM89" s="151"/>
      <c r="BN89" s="150" t="str">
        <f>IF([10]回答表!F17="水道事業",IF([10]回答表!X45="●",[10]回答表!E214,IF([10]回答表!AA45="●",[10]回答表!E280,"")),"")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IF([10]回答表!F17="水道事業",IF([10]回答表!AA45="●","●",""),"")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IF([10]回答表!F17="水道事業",IF([10]回答表!X45="●",[10]回答表!J176,IF([10]回答表!AA45="●",[10]回答表!J241,"")),"")</f>
        <v/>
      </c>
      <c r="V93" s="83"/>
      <c r="W93" s="83"/>
      <c r="X93" s="83"/>
      <c r="Y93" s="83"/>
      <c r="Z93" s="83"/>
      <c r="AA93" s="83"/>
      <c r="AB93" s="153"/>
      <c r="AC93" s="82" t="str">
        <f>IF([10]回答表!F17="水道事業",IF([10]回答表!X45="●",[10]回答表!J180,IF([10]回答表!AA45="●",[10]回答表!J245,"")),"")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IF([10]回答表!F17="水道事業",IF([10]回答表!AD45="○","○",""),"")</f>
        <v/>
      </c>
      <c r="O98" s="131"/>
      <c r="P98" s="131"/>
      <c r="Q98" s="132"/>
      <c r="R98" s="119"/>
      <c r="S98" s="119"/>
      <c r="T98" s="119"/>
      <c r="U98" s="133" t="str">
        <f>IF([10]回答表!F17="水道事業",IF([10]回答表!AD45="●",[10]回答表!B289,""),"")</f>
        <v/>
      </c>
      <c r="V98" s="134"/>
      <c r="W98" s="134"/>
      <c r="X98" s="134"/>
      <c r="Y98" s="134"/>
      <c r="Z98" s="134"/>
      <c r="AA98" s="134"/>
      <c r="AB98" s="134"/>
      <c r="AC98" s="134"/>
      <c r="AD98" s="134"/>
      <c r="AE98" s="134"/>
      <c r="AF98" s="134"/>
      <c r="AG98" s="134"/>
      <c r="AH98" s="134"/>
      <c r="AI98" s="134"/>
      <c r="AJ98" s="135"/>
      <c r="AK98" s="183"/>
      <c r="AL98" s="183"/>
      <c r="AM98" s="133" t="str">
        <f>IF([10]回答表!F17="水道事業",IF([10]回答表!AD45="●",[10]回答表!B295,""),"")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IF([10]回答表!F17="簡易水道事業",IF([10]回答表!X45="●",[10]回答表!B158,IF([10]回答表!AA45="●",[10]回答表!B223,"")),"")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IF([10]回答表!F17="簡易水道事業",IF([10]回答表!X45="●",[10]回答表!B212,IF([10]回答表!AA45="●",[10]回答表!B278,"")),"")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IF([10]回答表!F17="簡易水道事業",IF([10]回答表!X45="●","●",""),"")</f>
        <v/>
      </c>
      <c r="O112" s="131"/>
      <c r="P112" s="131"/>
      <c r="Q112" s="132"/>
      <c r="R112" s="119"/>
      <c r="S112" s="119"/>
      <c r="T112" s="119"/>
      <c r="U112" s="82" t="str">
        <f>IF([10]回答表!F17="簡易水道事業",IF([10]回答表!X45="●",[10]回答表!Y185,IF([10]回答表!AA45="●",[10]回答表!Y251,"")),"")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IF([10]回答表!F17="簡易水道事業",IF([10]回答表!X45="●",[10]回答表!E212,IF([10]回答表!AA45="●",[10]回答表!E278,"")),"")</f>
        <v/>
      </c>
      <c r="BG113" s="151"/>
      <c r="BH113" s="151"/>
      <c r="BI113" s="151"/>
      <c r="BJ113" s="150" t="str">
        <f>IF([10]回答表!F17="簡易水道事業",IF([10]回答表!X45="●",[10]回答表!E213,IF([10]回答表!AA45="●",[10]回答表!E279,"")),"")</f>
        <v/>
      </c>
      <c r="BK113" s="151"/>
      <c r="BL113" s="151"/>
      <c r="BM113" s="151"/>
      <c r="BN113" s="150" t="str">
        <f>IF([10]回答表!F17="簡易水道事業",IF([10]回答表!X45="●",[10]回答表!E214,IF([10]回答表!AA45="●",[10]回答表!E280,"")),"")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IF([10]回答表!F17="簡易水道事業",IF([10]回答表!X45="●",[10]回答表!Y186,IF([10]回答表!AA45="●",[10]回答表!Y252,"")),"")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IF([10]回答表!F17="簡易水道事業",IF([10]回答表!AA45="●","●",""),"")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IF([10]回答表!F17="簡易水道事業",IF([10]回答表!X45="●",[10]回答表!Y187,IF([10]回答表!AA45="●",[10]回答表!Y253,"")),"")</f>
        <v/>
      </c>
      <c r="V122" s="83"/>
      <c r="W122" s="83"/>
      <c r="X122" s="83"/>
      <c r="Y122" s="83"/>
      <c r="Z122" s="83"/>
      <c r="AA122" s="83"/>
      <c r="AB122" s="83"/>
      <c r="AC122" s="83"/>
      <c r="AD122" s="83"/>
      <c r="AE122" s="83"/>
      <c r="AF122" s="83"/>
      <c r="AG122" s="83"/>
      <c r="AH122" s="83"/>
      <c r="AI122" s="83"/>
      <c r="AJ122" s="153"/>
      <c r="AK122" s="68"/>
      <c r="AL122" s="68"/>
      <c r="AM122" s="233" t="str">
        <f>IF([10]回答表!F17="簡易水道事業",IF([10]回答表!X45="●",[10]回答表!Y189,IF([10]回答表!AA45="●",[10]回答表!Y255,"")),"")</f>
        <v/>
      </c>
      <c r="AN122" s="233"/>
      <c r="AO122" s="233"/>
      <c r="AP122" s="233"/>
      <c r="AQ122" s="233"/>
      <c r="AR122" s="233"/>
      <c r="AS122" s="233" t="str">
        <f>IF([10]回答表!F17="簡易水道事業",IF([10]回答表!X45="●",[10]回答表!Y190,IF([10]回答表!AA45="●",[10]回答表!Y256,"")),"")</f>
        <v/>
      </c>
      <c r="AT122" s="233"/>
      <c r="AU122" s="233"/>
      <c r="AV122" s="233"/>
      <c r="AW122" s="233"/>
      <c r="AX122" s="233"/>
      <c r="AY122" s="233" t="str">
        <f>IF([10]回答表!F17="簡易水道事業",IF([10]回答表!X45="●",[10]回答表!Y191,IF([10]回答表!AA45="●",[10]回答表!Y257,"")),"")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IF([10]回答表!F17="簡易水道事業",IF([10]回答表!AD45="●","●",""),"")</f>
        <v/>
      </c>
      <c r="O127" s="131"/>
      <c r="P127" s="131"/>
      <c r="Q127" s="132"/>
      <c r="R127" s="119"/>
      <c r="S127" s="119"/>
      <c r="T127" s="119"/>
      <c r="U127" s="133" t="str">
        <f>IF([10]回答表!F17="簡易水道事業",IF([10]回答表!AD45="●",[10]回答表!B289,""),"")</f>
        <v/>
      </c>
      <c r="V127" s="134"/>
      <c r="W127" s="134"/>
      <c r="X127" s="134"/>
      <c r="Y127" s="134"/>
      <c r="Z127" s="134"/>
      <c r="AA127" s="134"/>
      <c r="AB127" s="134"/>
      <c r="AC127" s="134"/>
      <c r="AD127" s="134"/>
      <c r="AE127" s="134"/>
      <c r="AF127" s="134"/>
      <c r="AG127" s="134"/>
      <c r="AH127" s="134"/>
      <c r="AI127" s="134"/>
      <c r="AJ127" s="135"/>
      <c r="AK127" s="183"/>
      <c r="AL127" s="183"/>
      <c r="AM127" s="133" t="str">
        <f>IF([10]回答表!F17="簡易水道事業",IF([10]回答表!AD45="●",[10]回答表!B295,""),"")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IF([10]回答表!F17="下水道事業",IF([10]回答表!X45="●","●",""),"")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IF([10]回答表!F17="下水道事業",IF([10]回答表!X45="●",[10]回答表!B158,IF([10]回答表!AA45="●",[10]回答表!B223,"")),"")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IF([10]回答表!F17="下水道事業",IF([10]回答表!X45="●",[10]回答表!B212,IF([10]回答表!AA45="●",[10]回答表!B278,"")),"")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IF([10]回答表!F17="下水道事業",IF([10]回答表!X45="●",[10]回答表!Y193,IF([10]回答表!AA45="●",[10]回答表!Y259,"")),"")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IF([10]回答表!F17="下水道事業",IF([10]回答表!X45="●",[10]回答表!E212,IF([10]回答表!AA45="●",[10]回答表!E278,"")),"")</f>
        <v/>
      </c>
      <c r="BG142" s="151"/>
      <c r="BH142" s="151"/>
      <c r="BI142" s="151"/>
      <c r="BJ142" s="150" t="str">
        <f>IF([10]回答表!F17="下水道事業",IF([10]回答表!X45="●",[10]回答表!E213,IF([10]回答表!AA45="●",[10]回答表!E279,"")),"")</f>
        <v/>
      </c>
      <c r="BK142" s="151"/>
      <c r="BL142" s="151"/>
      <c r="BM142" s="151"/>
      <c r="BN142" s="150" t="str">
        <f>IF([10]回答表!F17="下水道事業",IF([10]回答表!X45="●",[10]回答表!E214,IF([10]回答表!AA45="●",[10]回答表!E280,"")),"")</f>
        <v/>
      </c>
      <c r="BO142" s="151"/>
      <c r="BP142" s="151"/>
      <c r="BQ142" s="152"/>
      <c r="BR142" s="112"/>
      <c r="BX142" s="200" t="str">
        <f>IF([10]回答表!AQ20="下水道事業",IF([10]回答表!BI48="○",[10]回答表!AM161,IF([10]回答表!BL48="○",[10]回答表!AM226,"")),"")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IF([10]回答表!F17="下水道事業",IF([10]回答表!X45="●",[10]回答表!Y195,IF([10]回答表!AA45="●",[10]回答表!Y261,"")),"")</f>
        <v/>
      </c>
      <c r="V147" s="83"/>
      <c r="W147" s="83"/>
      <c r="X147" s="83"/>
      <c r="Y147" s="83"/>
      <c r="Z147" s="83"/>
      <c r="AA147" s="83"/>
      <c r="AB147" s="153"/>
      <c r="AC147" s="82" t="str">
        <f>IF([10]回答表!F17="下水道事業",IF([10]回答表!X45="●",[10]回答表!Y196,IF([10]回答表!AA45="●",[10]回答表!Y262,"")),"")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IF([10]回答表!F17="下水道事業",IF([10]回答表!X45="●",[10]回答表!Y198,IF([10]回答表!AA45="●",[10]回答表!Y264,"")),"")</f>
        <v/>
      </c>
      <c r="V153" s="83"/>
      <c r="W153" s="83"/>
      <c r="X153" s="83"/>
      <c r="Y153" s="83"/>
      <c r="Z153" s="83"/>
      <c r="AA153" s="83"/>
      <c r="AB153" s="153"/>
      <c r="AC153" s="82" t="str">
        <f>IF([10]回答表!F17="下水道事業",IF([10]回答表!X45="●",[10]回答表!Y199,IF([10]回答表!AA45="●",[10]回答表!Y265,"")),"")</f>
        <v/>
      </c>
      <c r="AD153" s="83"/>
      <c r="AE153" s="83"/>
      <c r="AF153" s="83"/>
      <c r="AG153" s="83"/>
      <c r="AH153" s="83"/>
      <c r="AI153" s="83"/>
      <c r="AJ153" s="153"/>
      <c r="AK153" s="82" t="str">
        <f>IF([10]回答表!F17="下水道事業",IF([10]回答表!X45="●",[10]回答表!Y200,IF([10]回答表!AA45="●",[10]回答表!Y266,"")),"")</f>
        <v/>
      </c>
      <c r="AL153" s="83"/>
      <c r="AM153" s="83"/>
      <c r="AN153" s="83"/>
      <c r="AO153" s="83"/>
      <c r="AP153" s="83"/>
      <c r="AQ153" s="83"/>
      <c r="AR153" s="153"/>
      <c r="AS153" s="82" t="str">
        <f>IF([10]回答表!F17="下水道事業",IF([10]回答表!X45="●",[10]回答表!Y201,IF([10]回答表!AA45="●",[10]回答表!Y267,"")),"")</f>
        <v/>
      </c>
      <c r="AT153" s="83"/>
      <c r="AU153" s="83"/>
      <c r="AV153" s="83"/>
      <c r="AW153" s="83"/>
      <c r="AX153" s="83"/>
      <c r="AY153" s="83"/>
      <c r="AZ153" s="153"/>
      <c r="BA153" s="82" t="str">
        <f>IF([10]回答表!F17="下水道事業",IF([10]回答表!X45="●",[10]回答表!Y202,IF([10]回答表!AA45="●",[10]回答表!Y268,"")),"")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IF([10]回答表!F17="下水道事業",IF([10]回答表!AA45="●","●",""),"")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IF([10]回答表!F17="下水道事業",IF([10]回答表!X45="●",[10]回答表!Y207,IF([10]回答表!AA45="●",[10]回答表!Y273,"")),"")</f>
        <v/>
      </c>
      <c r="V159" s="83"/>
      <c r="W159" s="83"/>
      <c r="X159" s="83"/>
      <c r="Y159" s="83"/>
      <c r="Z159" s="83"/>
      <c r="AA159" s="83"/>
      <c r="AB159" s="153"/>
      <c r="AC159" s="82" t="str">
        <f>IF([10]回答表!F17="下水道事業",IF([10]回答表!X45="●",[10]回答表!Y208,IF([10]回答表!AA45="●",[10]回答表!Y274,"")),"")</f>
        <v/>
      </c>
      <c r="AD159" s="83"/>
      <c r="AE159" s="83"/>
      <c r="AF159" s="83"/>
      <c r="AG159" s="83"/>
      <c r="AH159" s="83"/>
      <c r="AI159" s="83"/>
      <c r="AJ159" s="153"/>
      <c r="AK159" s="82" t="str">
        <f>IF([10]回答表!F17="下水道事業",IF([10]回答表!X45="●",[10]回答表!Y209,IF([10]回答表!AA45="●",[10]回答表!Y275,"")),"")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IF([10]回答表!F17="下水道事業",IF([10]回答表!AD45="●","●",""),"")</f>
        <v/>
      </c>
      <c r="O164" s="131"/>
      <c r="P164" s="131"/>
      <c r="Q164" s="132"/>
      <c r="R164" s="119"/>
      <c r="S164" s="119"/>
      <c r="T164" s="119"/>
      <c r="U164" s="133" t="str">
        <f>IF([10]回答表!F17="下水道事業",IF([10]回答表!AD45="●",[10]回答表!B289,""),"")</f>
        <v/>
      </c>
      <c r="V164" s="134"/>
      <c r="W164" s="134"/>
      <c r="X164" s="134"/>
      <c r="Y164" s="134"/>
      <c r="Z164" s="134"/>
      <c r="AA164" s="134"/>
      <c r="AB164" s="134"/>
      <c r="AC164" s="134"/>
      <c r="AD164" s="134"/>
      <c r="AE164" s="134"/>
      <c r="AF164" s="134"/>
      <c r="AG164" s="134"/>
      <c r="AH164" s="134"/>
      <c r="AI164" s="134"/>
      <c r="AJ164" s="135"/>
      <c r="AK164" s="183"/>
      <c r="AL164" s="183"/>
      <c r="AM164" s="133" t="str">
        <f>IF([10]回答表!F17="下水道事業",IF([10]回答表!AD45="●",[10]回答表!B295,""),"")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IF([10]回答表!BD17="●",IF([10]回答表!X45="●","●",""),"")</f>
        <v/>
      </c>
      <c r="O176" s="131"/>
      <c r="P176" s="131"/>
      <c r="Q176" s="132"/>
      <c r="R176" s="119"/>
      <c r="S176" s="119"/>
      <c r="T176" s="119"/>
      <c r="U176" s="133" t="str">
        <f>IF([10]回答表!BD17="●",IF([10]回答表!X45="●",[10]回答表!B158,IF([10]回答表!AA45="●",[10]回答表!B223,"")),"")</f>
        <v/>
      </c>
      <c r="V176" s="134"/>
      <c r="W176" s="134"/>
      <c r="X176" s="134"/>
      <c r="Y176" s="134"/>
      <c r="Z176" s="134"/>
      <c r="AA176" s="134"/>
      <c r="AB176" s="134"/>
      <c r="AC176" s="134"/>
      <c r="AD176" s="134"/>
      <c r="AE176" s="134"/>
      <c r="AF176" s="134"/>
      <c r="AG176" s="134"/>
      <c r="AH176" s="134"/>
      <c r="AI176" s="134"/>
      <c r="AJ176" s="135"/>
      <c r="AK176" s="136"/>
      <c r="AL176" s="136"/>
      <c r="AM176" s="138" t="str">
        <f>IF([10]回答表!BD17="●",IF([10]回答表!X45="●",[10]回答表!B212,IF([10]回答表!AA45="●",[10]回答表!B278,"")),"")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IF([10]回答表!BD17="●",IF([10]回答表!X45="●",[10]回答表!E212,IF([10]回答表!AA45="●",[10]回答表!E278,"")),"")</f>
        <v/>
      </c>
      <c r="AN179" s="151"/>
      <c r="AO179" s="151"/>
      <c r="AP179" s="151"/>
      <c r="AQ179" s="150" t="str">
        <f>IF([10]回答表!BD17="●",IF([10]回答表!X45="●",[10]回答表!E213,IF([10]回答表!AA45="●",[10]回答表!E279,"")),"")</f>
        <v/>
      </c>
      <c r="AR179" s="151"/>
      <c r="AS179" s="151"/>
      <c r="AT179" s="151"/>
      <c r="AU179" s="150" t="str">
        <f>IF([10]回答表!BD17="●",IF([10]回答表!X45="●",[10]回答表!E214,IF([10]回答表!AA45="●",[10]回答表!E280,"")),"")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IF([10]回答表!BD17="●",IF([10]回答表!AA45="●","●",""),"")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IF([10]回答表!BD17="●",IF([10]回答表!AD45="●","●",""),"")</f>
        <v/>
      </c>
      <c r="O188" s="131"/>
      <c r="P188" s="131"/>
      <c r="Q188" s="132"/>
      <c r="R188" s="119"/>
      <c r="S188" s="119"/>
      <c r="T188" s="119"/>
      <c r="U188" s="133" t="str">
        <f>IF([10]回答表!BD17="●",IF([10]回答表!AD45="●",[10]回答表!B289,""),"")</f>
        <v/>
      </c>
      <c r="V188" s="134"/>
      <c r="W188" s="134"/>
      <c r="X188" s="134"/>
      <c r="Y188" s="134"/>
      <c r="Z188" s="134"/>
      <c r="AA188" s="134"/>
      <c r="AB188" s="134"/>
      <c r="AC188" s="134"/>
      <c r="AD188" s="134"/>
      <c r="AE188" s="134"/>
      <c r="AF188" s="134"/>
      <c r="AG188" s="134"/>
      <c r="AH188" s="134"/>
      <c r="AI188" s="134"/>
      <c r="AJ188" s="135"/>
      <c r="AK188" s="183"/>
      <c r="AL188" s="183"/>
      <c r="AM188" s="133" t="str">
        <f>IF([10]回答表!BD17="●",IF([10]回答表!AD45="●",[10]回答表!B295,""),"")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IF([10]回答表!X46="●","●","")</f>
        <v/>
      </c>
      <c r="O200" s="131"/>
      <c r="P200" s="131"/>
      <c r="Q200" s="132"/>
      <c r="R200" s="119"/>
      <c r="S200" s="119"/>
      <c r="T200" s="119"/>
      <c r="U200" s="133" t="str">
        <f>IF([10]回答表!X46="●",[10]回答表!B307,IF([10]回答表!AA46="●",[10]回答表!B324,""))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IF([10]回答表!X46="●",[10]回答表!U313,IF([10]回答表!AA46="●",[10]回答表!U330,""))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IF([10]回答表!X46="●",[10]回答表!G313,IF([10]回答表!AA46="●",[10]回答表!G330,""))</f>
        <v/>
      </c>
      <c r="AN203" s="83"/>
      <c r="AO203" s="83"/>
      <c r="AP203" s="83"/>
      <c r="AQ203" s="83"/>
      <c r="AR203" s="83"/>
      <c r="AS203" s="83"/>
      <c r="AT203" s="153"/>
      <c r="AU203" s="82" t="str">
        <f>IF([10]回答表!X46="●",[10]回答表!G314,IF([10]回答表!AA46="●",[10]回答表!G331,""))</f>
        <v/>
      </c>
      <c r="AV203" s="83"/>
      <c r="AW203" s="83"/>
      <c r="AX203" s="83"/>
      <c r="AY203" s="83"/>
      <c r="AZ203" s="83"/>
      <c r="BA203" s="83"/>
      <c r="BB203" s="153"/>
      <c r="BC203" s="120"/>
      <c r="BD203" s="109"/>
      <c r="BE203" s="109"/>
      <c r="BF203" s="150" t="str">
        <f>IF([10]回答表!X46="●",[10]回答表!X313,IF([10]回答表!AA46="●",[10]回答表!X330,""))</f>
        <v/>
      </c>
      <c r="BG203" s="151"/>
      <c r="BH203" s="151"/>
      <c r="BI203" s="151"/>
      <c r="BJ203" s="150" t="str">
        <f>IF([10]回答表!X46="●",[10]回答表!X314,IF([10]回答表!AA46="●",[10]回答表!X331,""))</f>
        <v/>
      </c>
      <c r="BK203" s="151"/>
      <c r="BL203" s="151"/>
      <c r="BM203" s="152"/>
      <c r="BN203" s="150" t="str">
        <f>IF([10]回答表!X46="●",[10]回答表!X315,IF([10]回答表!AA46="●",[10]回答表!X332,""))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IF([10]回答表!AA46="●","●","")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IF([10]回答表!AD46="●","●","")</f>
        <v/>
      </c>
      <c r="O212" s="131"/>
      <c r="P212" s="131"/>
      <c r="Q212" s="132"/>
      <c r="R212" s="119"/>
      <c r="S212" s="119"/>
      <c r="T212" s="119"/>
      <c r="U212" s="133" t="str">
        <f>IF([10]回答表!AD46="●",[10]回答表!B337,"")</f>
        <v/>
      </c>
      <c r="V212" s="134"/>
      <c r="W212" s="134"/>
      <c r="X212" s="134"/>
      <c r="Y212" s="134"/>
      <c r="Z212" s="134"/>
      <c r="AA212" s="134"/>
      <c r="AB212" s="134"/>
      <c r="AC212" s="134"/>
      <c r="AD212" s="134"/>
      <c r="AE212" s="134"/>
      <c r="AF212" s="134"/>
      <c r="AG212" s="134"/>
      <c r="AH212" s="134"/>
      <c r="AI212" s="134"/>
      <c r="AJ212" s="135"/>
      <c r="AK212" s="259"/>
      <c r="AL212" s="259"/>
      <c r="AM212" s="133" t="str">
        <f>IF([10]回答表!AD46="●",[10]回答表!B343,"")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IF([10]回答表!X47="●","●","")</f>
        <v/>
      </c>
      <c r="O224" s="131"/>
      <c r="P224" s="131"/>
      <c r="Q224" s="132"/>
      <c r="R224" s="119"/>
      <c r="S224" s="119"/>
      <c r="T224" s="119"/>
      <c r="U224" s="133" t="str">
        <f>IF([10]回答表!X47="●",[10]回答表!B356,IF([10]回答表!AA47="●",[10]回答表!B379,""))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IF([10]回答表!X47="●",[10]回答表!B362,"")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IF([10]回答表!X47="●",[10]回答表!B368,IF([10]回答表!AA47="●",[10]回答表!B385,""))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IF([10]回答表!X47="●",[10]回答表!E368,IF([10]回答表!AA47="●",[10]回答表!E385,""))</f>
        <v/>
      </c>
      <c r="BG227" s="151"/>
      <c r="BH227" s="151"/>
      <c r="BI227" s="151"/>
      <c r="BJ227" s="150" t="str">
        <f>IF([10]回答表!X47="●",[10]回答表!E369,IF([10]回答表!AA47="●",[10]回答表!E386,""))</f>
        <v/>
      </c>
      <c r="BK227" s="151"/>
      <c r="BL227" s="151"/>
      <c r="BM227" s="152"/>
      <c r="BN227" s="150" t="str">
        <f>IF([10]回答表!X47="●",[10]回答表!E370,IF([10]回答表!AA47="●",[10]回答表!E387,""))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IF([10]回答表!AA47="●","●","")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IF([10]回答表!AD47="●","●","")</f>
        <v/>
      </c>
      <c r="O236" s="131"/>
      <c r="P236" s="131"/>
      <c r="Q236" s="132"/>
      <c r="R236" s="119"/>
      <c r="S236" s="119"/>
      <c r="T236" s="119"/>
      <c r="U236" s="133" t="str">
        <f>IF([10]回答表!AD47="●",[10]回答表!B392,"")</f>
        <v/>
      </c>
      <c r="V236" s="134"/>
      <c r="W236" s="134"/>
      <c r="X236" s="134"/>
      <c r="Y236" s="134"/>
      <c r="Z236" s="134"/>
      <c r="AA236" s="134"/>
      <c r="AB236" s="134"/>
      <c r="AC236" s="134"/>
      <c r="AD236" s="134"/>
      <c r="AE236" s="134"/>
      <c r="AF236" s="134"/>
      <c r="AG236" s="134"/>
      <c r="AH236" s="134"/>
      <c r="AI236" s="134"/>
      <c r="AJ236" s="135"/>
      <c r="AK236" s="259"/>
      <c r="AL236" s="259"/>
      <c r="AM236" s="133" t="str">
        <f>IF([10]回答表!AD47="●",[10]回答表!B398,"")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IF([10]回答表!X48="●","●","")</f>
        <v/>
      </c>
      <c r="O248" s="131"/>
      <c r="P248" s="131"/>
      <c r="Q248" s="132"/>
      <c r="R248" s="119"/>
      <c r="S248" s="119"/>
      <c r="T248" s="119"/>
      <c r="U248" s="133" t="str">
        <f>IF([10]回答表!X48="●",[10]回答表!B411,IF([10]回答表!AA48="●",[10]回答表!B425,""))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IF([10]回答表!X48="●",[10]回答表!BC418,IF([10]回答表!AA48="●",[10]回答表!BC432,""))</f>
        <v/>
      </c>
      <c r="AR248" s="272"/>
      <c r="AS248" s="272"/>
      <c r="AT248" s="272"/>
      <c r="AU248" s="273" t="s">
        <v>73</v>
      </c>
      <c r="AV248" s="274"/>
      <c r="AW248" s="274"/>
      <c r="AX248" s="275"/>
      <c r="AY248" s="272" t="str">
        <f>IF([10]回答表!X48="●",[10]回答表!BC423,IF([10]回答表!AA48="●",[10]回答表!BC437,""))</f>
        <v/>
      </c>
      <c r="AZ248" s="272"/>
      <c r="BA248" s="272"/>
      <c r="BB248" s="272"/>
      <c r="BC248" s="120"/>
      <c r="BD248" s="109"/>
      <c r="BE248" s="109"/>
      <c r="BF248" s="138" t="str">
        <f>IF([10]回答表!X48="●",[10]回答表!S417,IF([10]回答表!AA48="●",[10]回答表!S431,""))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IF([10]回答表!X48="●",[10]回答表!BC419,IF([10]回答表!AA48="●",[10]回答表!BC433,""))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IF([10]回答表!X48="●",[10]回答表!V417,IF([10]回答表!AA48="●",[10]回答表!V431,""))</f>
        <v/>
      </c>
      <c r="BG251" s="151"/>
      <c r="BH251" s="151"/>
      <c r="BI251" s="151"/>
      <c r="BJ251" s="150" t="str">
        <f>IF([10]回答表!X48="●",[10]回答表!V418,IF([10]回答表!AA48="●",[10]回答表!V432,""))</f>
        <v/>
      </c>
      <c r="BK251" s="151"/>
      <c r="BL251" s="151"/>
      <c r="BM251" s="152"/>
      <c r="BN251" s="150" t="str">
        <f>IF([10]回答表!X48="●",[10]回答表!V419,IF([10]回答表!AA48="●",[10]回答表!V433,""))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IF([10]回答表!X48="●",[10]回答表!BC420,IF([10]回答表!AA48="●",[10]回答表!BC434,""))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IF([10]回答表!X48="●",[10]回答表!BC424,IF([10]回答表!AA48="●",[10]回答表!BC438,""))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IF([10]回答表!AA48="●","●","")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IF([10]回答表!X48="●",[10]回答表!BC421,IF([10]回答表!AA48="●",[10]回答表!BC435,""))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IF([10]回答表!X48="●",[10]回答表!BC422,IF([10]回答表!AA48="●",[10]回答表!BC436,""))</f>
        <v/>
      </c>
      <c r="AR256" s="272"/>
      <c r="AS256" s="272"/>
      <c r="AT256" s="272"/>
      <c r="AU256" s="224" t="s">
        <v>79</v>
      </c>
      <c r="AV256" s="225"/>
      <c r="AW256" s="225"/>
      <c r="AX256" s="226"/>
      <c r="AY256" s="282" t="str">
        <f>IF([10]回答表!X48="●",[10]回答表!BC425,IF([10]回答表!AA48="●",[10]回答表!BC439,""))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IF([10]回答表!AD48="●","●","")</f>
        <v/>
      </c>
      <c r="O260" s="131"/>
      <c r="P260" s="131"/>
      <c r="Q260" s="132"/>
      <c r="R260" s="119"/>
      <c r="S260" s="119"/>
      <c r="T260" s="119"/>
      <c r="U260" s="133" t="str">
        <f>IF([10]回答表!AD48="●",[10]回答表!B439,"")</f>
        <v/>
      </c>
      <c r="V260" s="134"/>
      <c r="W260" s="134"/>
      <c r="X260" s="134"/>
      <c r="Y260" s="134"/>
      <c r="Z260" s="134"/>
      <c r="AA260" s="134"/>
      <c r="AB260" s="134"/>
      <c r="AC260" s="134"/>
      <c r="AD260" s="134"/>
      <c r="AE260" s="134"/>
      <c r="AF260" s="134"/>
      <c r="AG260" s="134"/>
      <c r="AH260" s="134"/>
      <c r="AI260" s="134"/>
      <c r="AJ260" s="135"/>
      <c r="AK260" s="183"/>
      <c r="AL260" s="183"/>
      <c r="AM260" s="133" t="str">
        <f>IF([10]回答表!AD48="●",[10]回答表!B445,"")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IF([10]回答表!X49="●","●","")</f>
        <v/>
      </c>
      <c r="O271" s="131"/>
      <c r="P271" s="131"/>
      <c r="Q271" s="132"/>
      <c r="R271" s="119"/>
      <c r="S271" s="119"/>
      <c r="T271" s="119"/>
      <c r="U271" s="133" t="str">
        <f>IF([10]回答表!X49="●",[10]回答表!B458,IF([10]回答表!AA49="●",[10]回答表!B475,""))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IF([10]回答表!X49="●",[10]回答表!B468,IF([10]回答表!AA49="●",[10]回答表!B485,""))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IF([10]回答表!X49="●",[10]回答表!G464,IF([10]回答表!AA49="●",[10]回答表!G481,""))</f>
        <v/>
      </c>
      <c r="AN273" s="83"/>
      <c r="AO273" s="83"/>
      <c r="AP273" s="83"/>
      <c r="AQ273" s="83"/>
      <c r="AR273" s="83"/>
      <c r="AS273" s="83"/>
      <c r="AT273" s="153"/>
      <c r="AU273" s="82" t="str">
        <f>IF([10]回答表!X49="●",[10]回答表!G465,IF([10]回答表!AA49="●",[10]回答表!G482,""))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IF([10]回答表!X49="●",[10]回答表!E468,IF([10]回答表!AA49="●",[10]回答表!E485,""))</f>
        <v/>
      </c>
      <c r="BG274" s="151"/>
      <c r="BH274" s="151"/>
      <c r="BI274" s="151"/>
      <c r="BJ274" s="150" t="str">
        <f>IF([10]回答表!X49="●",[10]回答表!E469,IF([10]回答表!AA49="●",[10]回答表!E486,""))</f>
        <v/>
      </c>
      <c r="BK274" s="151"/>
      <c r="BL274" s="151"/>
      <c r="BM274" s="152"/>
      <c r="BN274" s="150" t="str">
        <f>IF([10]回答表!X49="●",[10]回答表!E470,IF([10]回答表!AA49="●",[10]回答表!E487,""))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IF([10]回答表!AA49="●","●","")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IF([10]回答表!AD49="●","●","")</f>
        <v/>
      </c>
      <c r="O283" s="131"/>
      <c r="P283" s="131"/>
      <c r="Q283" s="132"/>
      <c r="R283" s="119"/>
      <c r="S283" s="119"/>
      <c r="T283" s="119"/>
      <c r="U283" s="133" t="str">
        <f>IF([10]回答表!AD49="●",[10]回答表!B492,"")</f>
        <v/>
      </c>
      <c r="V283" s="134"/>
      <c r="W283" s="134"/>
      <c r="X283" s="134"/>
      <c r="Y283" s="134"/>
      <c r="Z283" s="134"/>
      <c r="AA283" s="134"/>
      <c r="AB283" s="134"/>
      <c r="AC283" s="134"/>
      <c r="AD283" s="134"/>
      <c r="AE283" s="134"/>
      <c r="AF283" s="134"/>
      <c r="AG283" s="134"/>
      <c r="AH283" s="134"/>
      <c r="AI283" s="134"/>
      <c r="AJ283" s="135"/>
      <c r="AK283" s="136"/>
      <c r="AL283" s="136"/>
      <c r="AM283" s="133" t="str">
        <f>IF([10]回答表!AD49="●",[10]回答表!B498,"")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IF([10]回答表!R50="●",[10]回答表!B511,"")</f>
        <v>　令和2年4月1日より公営企業化し、昨年度、公共下水道事業や農業集落排水事業など8事業分をまとめた経営戦略を策定している。使用料収入は、年々減収し累積赤字が膨らむため使用料改定の検討を早期に行うこととしている。また、投資については生活排水整備構想のなかで施設の統廃合等を検討したものの有利な検討結果が得られないため、現段階では現行の経営体制・手法の継続とした。</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3" priority="2">
      <formula>$BB$25="○"</formula>
    </cfRule>
  </conditionalFormatting>
  <conditionalFormatting sqref="BD28:BD30">
    <cfRule type="expression" dxfId="1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AE01A-3D1E-479D-8A31-0259D5BA9F95}">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IF(COUNTIF([11]回答表!K15,"*")&gt;0,[11]回答表!K15,"")</f>
        <v>由利本荘市</v>
      </c>
      <c r="D11" s="8"/>
      <c r="E11" s="8"/>
      <c r="F11" s="8"/>
      <c r="G11" s="8"/>
      <c r="H11" s="8"/>
      <c r="I11" s="8"/>
      <c r="J11" s="8"/>
      <c r="K11" s="8"/>
      <c r="L11" s="8"/>
      <c r="M11" s="8"/>
      <c r="N11" s="8"/>
      <c r="O11" s="8"/>
      <c r="P11" s="8"/>
      <c r="Q11" s="8"/>
      <c r="R11" s="8"/>
      <c r="S11" s="8"/>
      <c r="T11" s="8"/>
      <c r="U11" s="22" t="str">
        <f>IF(COUNTIF([11]回答表!F17,"*")&gt;0,[11]回答表!F17,"")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IF(COUNTIF([11]回答表!W17,"*")&gt;0,[11]回答表!W17,"")</f>
        <v>個別排水処理施設</v>
      </c>
      <c r="AP11" s="10"/>
      <c r="AQ11" s="10"/>
      <c r="AR11" s="10"/>
      <c r="AS11" s="10"/>
      <c r="AT11" s="10"/>
      <c r="AU11" s="10"/>
      <c r="AV11" s="10"/>
      <c r="AW11" s="10"/>
      <c r="AX11" s="10"/>
      <c r="AY11" s="10"/>
      <c r="AZ11" s="10"/>
      <c r="BA11" s="10"/>
      <c r="BB11" s="10"/>
      <c r="BC11" s="10"/>
      <c r="BD11" s="10"/>
      <c r="BE11" s="10"/>
      <c r="BF11" s="11"/>
      <c r="BG11" s="21" t="str">
        <f>IF(COUNTIF([11]回答表!F19,"*")&gt;0,[11]回答表!F19,"")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IF([11]回答表!R43="●","●","")</f>
        <v/>
      </c>
      <c r="E24" s="80"/>
      <c r="F24" s="80"/>
      <c r="G24" s="80"/>
      <c r="H24" s="80"/>
      <c r="I24" s="80"/>
      <c r="J24" s="81"/>
      <c r="K24" s="79" t="str">
        <f>IF([11]回答表!R44="●","●","")</f>
        <v/>
      </c>
      <c r="L24" s="80"/>
      <c r="M24" s="80"/>
      <c r="N24" s="80"/>
      <c r="O24" s="80"/>
      <c r="P24" s="80"/>
      <c r="Q24" s="81"/>
      <c r="R24" s="79" t="str">
        <f>IF([11]回答表!R45="●","●","")</f>
        <v/>
      </c>
      <c r="S24" s="80"/>
      <c r="T24" s="80"/>
      <c r="U24" s="80"/>
      <c r="V24" s="80"/>
      <c r="W24" s="80"/>
      <c r="X24" s="81"/>
      <c r="Y24" s="79" t="str">
        <f>IF([11]回答表!R46="●","●","")</f>
        <v/>
      </c>
      <c r="Z24" s="80"/>
      <c r="AA24" s="80"/>
      <c r="AB24" s="80"/>
      <c r="AC24" s="80"/>
      <c r="AD24" s="80"/>
      <c r="AE24" s="81"/>
      <c r="AF24" s="79" t="str">
        <f>IF([11]回答表!R47="●","●","")</f>
        <v/>
      </c>
      <c r="AG24" s="80"/>
      <c r="AH24" s="80"/>
      <c r="AI24" s="80"/>
      <c r="AJ24" s="80"/>
      <c r="AK24" s="80"/>
      <c r="AL24" s="81"/>
      <c r="AM24" s="79" t="str">
        <f>IF([11]回答表!R48="●","●","")</f>
        <v/>
      </c>
      <c r="AN24" s="80"/>
      <c r="AO24" s="80"/>
      <c r="AP24" s="80"/>
      <c r="AQ24" s="80"/>
      <c r="AR24" s="80"/>
      <c r="AS24" s="81"/>
      <c r="AT24" s="79" t="str">
        <f>IF([11]回答表!R49="●","●","")</f>
        <v/>
      </c>
      <c r="AU24" s="80"/>
      <c r="AV24" s="80"/>
      <c r="AW24" s="80"/>
      <c r="AX24" s="80"/>
      <c r="AY24" s="80"/>
      <c r="AZ24" s="81"/>
      <c r="BA24" s="68"/>
      <c r="BB24" s="82" t="str">
        <f>IF([11]回答表!R50="●","●","")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IF([11]回答表!X43="●","●","")</f>
        <v/>
      </c>
      <c r="O36" s="131"/>
      <c r="P36" s="131"/>
      <c r="Q36" s="132"/>
      <c r="R36" s="119"/>
      <c r="S36" s="119"/>
      <c r="T36" s="119"/>
      <c r="U36" s="133" t="str">
        <f>IF([11]回答表!X43="●",[11]回答表!B59,IF([11]回答表!AA43="●",[11]回答表!B79,""))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IF([11]回答表!X43="●",[11]回答表!S65,IF([11]回答表!AA43="●",[11]回答表!S85,""))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IF([11]回答表!X43="●",[11]回答表!G65,IF([11]回答表!AA43="●",[11]回答表!G85,""))</f>
        <v/>
      </c>
      <c r="AN38" s="83"/>
      <c r="AO38" s="83"/>
      <c r="AP38" s="83"/>
      <c r="AQ38" s="83"/>
      <c r="AR38" s="83"/>
      <c r="AS38" s="83"/>
      <c r="AT38" s="153"/>
      <c r="AU38" s="82" t="str">
        <f>IF([11]回答表!X43="●",[11]回答表!G66,IF([11]回答表!AA43="●",[11]回答表!G86,""))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IF([11]回答表!X43="●",[11]回答表!V65,IF([11]回答表!AA43="●",[11]回答表!V85,""))</f>
        <v/>
      </c>
      <c r="BG39" s="16"/>
      <c r="BH39" s="16"/>
      <c r="BI39" s="17"/>
      <c r="BJ39" s="150" t="str">
        <f>IF([11]回答表!X43="●",[11]回答表!V66,IF([11]回答表!AA43="●",[11]回答表!V86,""))</f>
        <v/>
      </c>
      <c r="BK39" s="16"/>
      <c r="BL39" s="16"/>
      <c r="BM39" s="17"/>
      <c r="BN39" s="150" t="str">
        <f>IF([11]回答表!X43="●",[11]回答表!V67,IF([11]回答表!AA43="●",[11]回答表!V87,""))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IF([11]回答表!X43="●",[11]回答表!O71,IF([11]回答表!AA43="●",[11]回答表!O91,""))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IF([11]回答表!X43="●",[11]回答表!O72,IF([11]回答表!AA43="●",[11]回答表!O92,""))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IF([11]回答表!X43="●",[11]回答表!O73,IF([11]回答表!AA43="●",[11]回答表!O93,""))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IF([11]回答表!X43="●",[11]回答表!O74,IF([11]回答表!AA43="●",[11]回答表!O94,""))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IF([11]回答表!X43="●",[11]回答表!AG71,IF([11]回答表!AA43="●",[11]回答表!AG91,""))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IF([11]回答表!X43="●",[11]回答表!AG72,IF([11]回答表!AA43="●",[11]回答表!AG92,""))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IF([11]回答表!AD43="●","●","")</f>
        <v/>
      </c>
      <c r="O51" s="131"/>
      <c r="P51" s="131"/>
      <c r="Q51" s="132"/>
      <c r="R51" s="119"/>
      <c r="S51" s="119"/>
      <c r="T51" s="119"/>
      <c r="U51" s="133" t="str">
        <f>IF([11]回答表!AD43="●",[11]回答表!B99,"")</f>
        <v/>
      </c>
      <c r="V51" s="134"/>
      <c r="W51" s="134"/>
      <c r="X51" s="134"/>
      <c r="Y51" s="134"/>
      <c r="Z51" s="134"/>
      <c r="AA51" s="134"/>
      <c r="AB51" s="134"/>
      <c r="AC51" s="134"/>
      <c r="AD51" s="134"/>
      <c r="AE51" s="134"/>
      <c r="AF51" s="134"/>
      <c r="AG51" s="134"/>
      <c r="AH51" s="134"/>
      <c r="AI51" s="134"/>
      <c r="AJ51" s="135"/>
      <c r="AK51" s="183"/>
      <c r="AL51" s="183"/>
      <c r="AM51" s="133" t="str">
        <f>IF([11]回答表!AD43="●",[11]回答表!B104,"")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IF([11]回答表!X44="●","●","")</f>
        <v/>
      </c>
      <c r="O62" s="131"/>
      <c r="P62" s="131"/>
      <c r="Q62" s="132"/>
      <c r="R62" s="119"/>
      <c r="S62" s="119"/>
      <c r="T62" s="119"/>
      <c r="U62" s="133" t="str">
        <f>IF([11]回答表!X44="●",[11]回答表!B115,IF([11]回答表!AA44="●",[11]回答表!B127,""))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IF([11]回答表!X44="●",[11]回答表!S121,IF([11]回答表!AA44="●",[11]回答表!S133,""))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IF([11]回答表!X44="●",[11]回答表!J121,IF([11]回答表!AA44="●",[11]回答表!J133,""))</f>
        <v/>
      </c>
      <c r="AN65" s="83"/>
      <c r="AO65" s="83"/>
      <c r="AP65" s="83"/>
      <c r="AQ65" s="83"/>
      <c r="AR65" s="83"/>
      <c r="AS65" s="83"/>
      <c r="AT65" s="153"/>
      <c r="AU65" s="82" t="str">
        <f>IF([11]回答表!X44="●",[11]回答表!J122,IF([11]回答表!AA44="●",[11]回答表!J134,""))</f>
        <v/>
      </c>
      <c r="AV65" s="83"/>
      <c r="AW65" s="83"/>
      <c r="AX65" s="83"/>
      <c r="AY65" s="83"/>
      <c r="AZ65" s="83"/>
      <c r="BA65" s="83"/>
      <c r="BB65" s="153"/>
      <c r="BC65" s="120"/>
      <c r="BD65" s="109"/>
      <c r="BE65" s="109"/>
      <c r="BF65" s="150" t="str">
        <f>IF([11]回答表!X44="●",[11]回答表!V121,IF([11]回答表!AA44="●",[11]回答表!V133,""))</f>
        <v/>
      </c>
      <c r="BG65" s="151"/>
      <c r="BH65" s="151"/>
      <c r="BI65" s="151"/>
      <c r="BJ65" s="150" t="str">
        <f>IF([11]回答表!X44="●",[11]回答表!V122,IF([11]回答表!AA44="●",[11]回答表!V134,""))</f>
        <v/>
      </c>
      <c r="BK65" s="151"/>
      <c r="BL65" s="151"/>
      <c r="BM65" s="151"/>
      <c r="BN65" s="150" t="str">
        <f>IF([11]回答表!X44="●",[11]回答表!V123,IF([11]回答表!AA44="●",[11]回答表!V135,""))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IF([11]回答表!AD44="●","●","")</f>
        <v/>
      </c>
      <c r="O74" s="131"/>
      <c r="P74" s="131"/>
      <c r="Q74" s="132"/>
      <c r="R74" s="119"/>
      <c r="S74" s="119"/>
      <c r="T74" s="119"/>
      <c r="U74" s="133" t="str">
        <f>IF([11]回答表!AD44="●",[11]回答表!B140,"")</f>
        <v/>
      </c>
      <c r="V74" s="134"/>
      <c r="W74" s="134"/>
      <c r="X74" s="134"/>
      <c r="Y74" s="134"/>
      <c r="Z74" s="134"/>
      <c r="AA74" s="134"/>
      <c r="AB74" s="134"/>
      <c r="AC74" s="134"/>
      <c r="AD74" s="134"/>
      <c r="AE74" s="134"/>
      <c r="AF74" s="134"/>
      <c r="AG74" s="134"/>
      <c r="AH74" s="134"/>
      <c r="AI74" s="134"/>
      <c r="AJ74" s="135"/>
      <c r="AK74" s="183"/>
      <c r="AL74" s="183"/>
      <c r="AM74" s="133" t="str">
        <f>IF([11]回答表!AD44="●",[11]回答表!B146,"")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IF([11]回答表!F17="水道事業",IF([11]回答表!X45="●","●",""),"")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IF([11]回答表!F17="水道事業",IF([11]回答表!X45="●",[11]回答表!B158,IF([11]回答表!AA45="●",[11]回答表!B223,"")),"")</f>
        <v/>
      </c>
      <c r="AN86" s="201"/>
      <c r="AO86" s="201"/>
      <c r="AP86" s="201"/>
      <c r="AQ86" s="201"/>
      <c r="AR86" s="201"/>
      <c r="AS86" s="201"/>
      <c r="AT86" s="201"/>
      <c r="AU86" s="201"/>
      <c r="AV86" s="201"/>
      <c r="AW86" s="201"/>
      <c r="AX86" s="201"/>
      <c r="AY86" s="201"/>
      <c r="AZ86" s="201"/>
      <c r="BA86" s="201"/>
      <c r="BB86" s="201"/>
      <c r="BC86" s="202"/>
      <c r="BD86" s="109"/>
      <c r="BE86" s="109"/>
      <c r="BF86" s="138" t="str">
        <f>IF([11]回答表!F17="水道事業",IF([11]回答表!X45="●",[11]回答表!B212,IF([11]回答表!AA45="●",[11]回答表!B278,"")),"")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IF([11]回答表!F17="水道事業",IF([11]回答表!X45="●",[11]回答表!J166,IF([11]回答表!AA45="●",[11]回答表!J231,"")),"")</f>
        <v/>
      </c>
      <c r="V88" s="83"/>
      <c r="W88" s="83"/>
      <c r="X88" s="83"/>
      <c r="Y88" s="83"/>
      <c r="Z88" s="83"/>
      <c r="AA88" s="83"/>
      <c r="AB88" s="153"/>
      <c r="AC88" s="82" t="str">
        <f>IF([11]回答表!F17="水道事業",IF([11]回答表!X45="●",[11]回答表!J173,IF([11]回答表!AA45="●",[11]回答表!J238,"")),"")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IF([11]回答表!F17="水道事業",IF([11]回答表!X45="●",[11]回答表!E212,IF([11]回答表!AA45="●",[11]回答表!E278,"")),"")</f>
        <v/>
      </c>
      <c r="BG89" s="151"/>
      <c r="BH89" s="151"/>
      <c r="BI89" s="151"/>
      <c r="BJ89" s="150" t="str">
        <f>IF([11]回答表!F17="水道事業",IF([11]回答表!X45="●",[11]回答表!E213,IF([11]回答表!AA45="●",[11]回答表!E279,"")),"")</f>
        <v/>
      </c>
      <c r="BK89" s="151"/>
      <c r="BL89" s="151"/>
      <c r="BM89" s="151"/>
      <c r="BN89" s="150" t="str">
        <f>IF([11]回答表!F17="水道事業",IF([11]回答表!X45="●",[11]回答表!E214,IF([11]回答表!AA45="●",[11]回答表!E280,"")),"")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IF([11]回答表!F17="水道事業",IF([11]回答表!AA45="●","●",""),"")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IF([11]回答表!F17="水道事業",IF([11]回答表!X45="●",[11]回答表!J176,IF([11]回答表!AA45="●",[11]回答表!J241,"")),"")</f>
        <v/>
      </c>
      <c r="V93" s="83"/>
      <c r="W93" s="83"/>
      <c r="X93" s="83"/>
      <c r="Y93" s="83"/>
      <c r="Z93" s="83"/>
      <c r="AA93" s="83"/>
      <c r="AB93" s="153"/>
      <c r="AC93" s="82" t="str">
        <f>IF([11]回答表!F17="水道事業",IF([11]回答表!X45="●",[11]回答表!J180,IF([11]回答表!AA45="●",[11]回答表!J245,"")),"")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IF([11]回答表!F17="水道事業",IF([11]回答表!AD45="○","○",""),"")</f>
        <v/>
      </c>
      <c r="O98" s="131"/>
      <c r="P98" s="131"/>
      <c r="Q98" s="132"/>
      <c r="R98" s="119"/>
      <c r="S98" s="119"/>
      <c r="T98" s="119"/>
      <c r="U98" s="133" t="str">
        <f>IF([11]回答表!F17="水道事業",IF([11]回答表!AD45="●",[11]回答表!B289,""),"")</f>
        <v/>
      </c>
      <c r="V98" s="134"/>
      <c r="W98" s="134"/>
      <c r="X98" s="134"/>
      <c r="Y98" s="134"/>
      <c r="Z98" s="134"/>
      <c r="AA98" s="134"/>
      <c r="AB98" s="134"/>
      <c r="AC98" s="134"/>
      <c r="AD98" s="134"/>
      <c r="AE98" s="134"/>
      <c r="AF98" s="134"/>
      <c r="AG98" s="134"/>
      <c r="AH98" s="134"/>
      <c r="AI98" s="134"/>
      <c r="AJ98" s="135"/>
      <c r="AK98" s="183"/>
      <c r="AL98" s="183"/>
      <c r="AM98" s="133" t="str">
        <f>IF([11]回答表!F17="水道事業",IF([11]回答表!AD45="●",[11]回答表!B295,""),"")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IF([11]回答表!F17="簡易水道事業",IF([11]回答表!X45="●",[11]回答表!B158,IF([11]回答表!AA45="●",[11]回答表!B223,"")),"")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IF([11]回答表!F17="簡易水道事業",IF([11]回答表!X45="●",[11]回答表!B212,IF([11]回答表!AA45="●",[11]回答表!B278,"")),"")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IF([11]回答表!F17="簡易水道事業",IF([11]回答表!X45="●","●",""),"")</f>
        <v/>
      </c>
      <c r="O112" s="131"/>
      <c r="P112" s="131"/>
      <c r="Q112" s="132"/>
      <c r="R112" s="119"/>
      <c r="S112" s="119"/>
      <c r="T112" s="119"/>
      <c r="U112" s="82" t="str">
        <f>IF([11]回答表!F17="簡易水道事業",IF([11]回答表!X45="●",[11]回答表!Y185,IF([11]回答表!AA45="●",[11]回答表!Y251,"")),"")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IF([11]回答表!F17="簡易水道事業",IF([11]回答表!X45="●",[11]回答表!E212,IF([11]回答表!AA45="●",[11]回答表!E278,"")),"")</f>
        <v/>
      </c>
      <c r="BG113" s="151"/>
      <c r="BH113" s="151"/>
      <c r="BI113" s="151"/>
      <c r="BJ113" s="150" t="str">
        <f>IF([11]回答表!F17="簡易水道事業",IF([11]回答表!X45="●",[11]回答表!E213,IF([11]回答表!AA45="●",[11]回答表!E279,"")),"")</f>
        <v/>
      </c>
      <c r="BK113" s="151"/>
      <c r="BL113" s="151"/>
      <c r="BM113" s="151"/>
      <c r="BN113" s="150" t="str">
        <f>IF([11]回答表!F17="簡易水道事業",IF([11]回答表!X45="●",[11]回答表!E214,IF([11]回答表!AA45="●",[11]回答表!E280,"")),"")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IF([11]回答表!F17="簡易水道事業",IF([11]回答表!X45="●",[11]回答表!Y186,IF([11]回答表!AA45="●",[11]回答表!Y252,"")),"")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IF([11]回答表!F17="簡易水道事業",IF([11]回答表!AA45="●","●",""),"")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IF([11]回答表!F17="簡易水道事業",IF([11]回答表!X45="●",[11]回答表!Y187,IF([11]回答表!AA45="●",[11]回答表!Y253,"")),"")</f>
        <v/>
      </c>
      <c r="V122" s="83"/>
      <c r="W122" s="83"/>
      <c r="X122" s="83"/>
      <c r="Y122" s="83"/>
      <c r="Z122" s="83"/>
      <c r="AA122" s="83"/>
      <c r="AB122" s="83"/>
      <c r="AC122" s="83"/>
      <c r="AD122" s="83"/>
      <c r="AE122" s="83"/>
      <c r="AF122" s="83"/>
      <c r="AG122" s="83"/>
      <c r="AH122" s="83"/>
      <c r="AI122" s="83"/>
      <c r="AJ122" s="153"/>
      <c r="AK122" s="68"/>
      <c r="AL122" s="68"/>
      <c r="AM122" s="233" t="str">
        <f>IF([11]回答表!F17="簡易水道事業",IF([11]回答表!X45="●",[11]回答表!Y189,IF([11]回答表!AA45="●",[11]回答表!Y255,"")),"")</f>
        <v/>
      </c>
      <c r="AN122" s="233"/>
      <c r="AO122" s="233"/>
      <c r="AP122" s="233"/>
      <c r="AQ122" s="233"/>
      <c r="AR122" s="233"/>
      <c r="AS122" s="233" t="str">
        <f>IF([11]回答表!F17="簡易水道事業",IF([11]回答表!X45="●",[11]回答表!Y190,IF([11]回答表!AA45="●",[11]回答表!Y256,"")),"")</f>
        <v/>
      </c>
      <c r="AT122" s="233"/>
      <c r="AU122" s="233"/>
      <c r="AV122" s="233"/>
      <c r="AW122" s="233"/>
      <c r="AX122" s="233"/>
      <c r="AY122" s="233" t="str">
        <f>IF([11]回答表!F17="簡易水道事業",IF([11]回答表!X45="●",[11]回答表!Y191,IF([11]回答表!AA45="●",[11]回答表!Y257,"")),"")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IF([11]回答表!F17="簡易水道事業",IF([11]回答表!AD45="●","●",""),"")</f>
        <v/>
      </c>
      <c r="O127" s="131"/>
      <c r="P127" s="131"/>
      <c r="Q127" s="132"/>
      <c r="R127" s="119"/>
      <c r="S127" s="119"/>
      <c r="T127" s="119"/>
      <c r="U127" s="133" t="str">
        <f>IF([11]回答表!F17="簡易水道事業",IF([11]回答表!AD45="●",[11]回答表!B289,""),"")</f>
        <v/>
      </c>
      <c r="V127" s="134"/>
      <c r="W127" s="134"/>
      <c r="X127" s="134"/>
      <c r="Y127" s="134"/>
      <c r="Z127" s="134"/>
      <c r="AA127" s="134"/>
      <c r="AB127" s="134"/>
      <c r="AC127" s="134"/>
      <c r="AD127" s="134"/>
      <c r="AE127" s="134"/>
      <c r="AF127" s="134"/>
      <c r="AG127" s="134"/>
      <c r="AH127" s="134"/>
      <c r="AI127" s="134"/>
      <c r="AJ127" s="135"/>
      <c r="AK127" s="183"/>
      <c r="AL127" s="183"/>
      <c r="AM127" s="133" t="str">
        <f>IF([11]回答表!F17="簡易水道事業",IF([11]回答表!AD45="●",[11]回答表!B295,""),"")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IF([11]回答表!F17="下水道事業",IF([11]回答表!X45="●","●",""),"")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IF([11]回答表!F17="下水道事業",IF([11]回答表!X45="●",[11]回答表!B158,IF([11]回答表!AA45="●",[11]回答表!B223,"")),"")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IF([11]回答表!F17="下水道事業",IF([11]回答表!X45="●",[11]回答表!B212,IF([11]回答表!AA45="●",[11]回答表!B278,"")),"")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IF([11]回答表!F17="下水道事業",IF([11]回答表!X45="●",[11]回答表!Y193,IF([11]回答表!AA45="●",[11]回答表!Y259,"")),"")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IF([11]回答表!F17="下水道事業",IF([11]回答表!X45="●",[11]回答表!E212,IF([11]回答表!AA45="●",[11]回答表!E278,"")),"")</f>
        <v/>
      </c>
      <c r="BG142" s="151"/>
      <c r="BH142" s="151"/>
      <c r="BI142" s="151"/>
      <c r="BJ142" s="150" t="str">
        <f>IF([11]回答表!F17="下水道事業",IF([11]回答表!X45="●",[11]回答表!E213,IF([11]回答表!AA45="●",[11]回答表!E279,"")),"")</f>
        <v/>
      </c>
      <c r="BK142" s="151"/>
      <c r="BL142" s="151"/>
      <c r="BM142" s="151"/>
      <c r="BN142" s="150" t="str">
        <f>IF([11]回答表!F17="下水道事業",IF([11]回答表!X45="●",[11]回答表!E214,IF([11]回答表!AA45="●",[11]回答表!E280,"")),"")</f>
        <v/>
      </c>
      <c r="BO142" s="151"/>
      <c r="BP142" s="151"/>
      <c r="BQ142" s="152"/>
      <c r="BR142" s="112"/>
      <c r="BX142" s="200" t="str">
        <f>IF([11]回答表!AQ20="下水道事業",IF([11]回答表!BI48="○",[11]回答表!AM161,IF([11]回答表!BL48="○",[11]回答表!AM226,"")),"")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IF([11]回答表!F17="下水道事業",IF([11]回答表!X45="●",[11]回答表!Y195,IF([11]回答表!AA45="●",[11]回答表!Y261,"")),"")</f>
        <v/>
      </c>
      <c r="V147" s="83"/>
      <c r="W147" s="83"/>
      <c r="X147" s="83"/>
      <c r="Y147" s="83"/>
      <c r="Z147" s="83"/>
      <c r="AA147" s="83"/>
      <c r="AB147" s="153"/>
      <c r="AC147" s="82" t="str">
        <f>IF([11]回答表!F17="下水道事業",IF([11]回答表!X45="●",[11]回答表!Y196,IF([11]回答表!AA45="●",[11]回答表!Y262,"")),"")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IF([11]回答表!F17="下水道事業",IF([11]回答表!X45="●",[11]回答表!Y198,IF([11]回答表!AA45="●",[11]回答表!Y264,"")),"")</f>
        <v/>
      </c>
      <c r="V153" s="83"/>
      <c r="W153" s="83"/>
      <c r="X153" s="83"/>
      <c r="Y153" s="83"/>
      <c r="Z153" s="83"/>
      <c r="AA153" s="83"/>
      <c r="AB153" s="153"/>
      <c r="AC153" s="82" t="str">
        <f>IF([11]回答表!F17="下水道事業",IF([11]回答表!X45="●",[11]回答表!Y199,IF([11]回答表!AA45="●",[11]回答表!Y265,"")),"")</f>
        <v/>
      </c>
      <c r="AD153" s="83"/>
      <c r="AE153" s="83"/>
      <c r="AF153" s="83"/>
      <c r="AG153" s="83"/>
      <c r="AH153" s="83"/>
      <c r="AI153" s="83"/>
      <c r="AJ153" s="153"/>
      <c r="AK153" s="82" t="str">
        <f>IF([11]回答表!F17="下水道事業",IF([11]回答表!X45="●",[11]回答表!Y200,IF([11]回答表!AA45="●",[11]回答表!Y266,"")),"")</f>
        <v/>
      </c>
      <c r="AL153" s="83"/>
      <c r="AM153" s="83"/>
      <c r="AN153" s="83"/>
      <c r="AO153" s="83"/>
      <c r="AP153" s="83"/>
      <c r="AQ153" s="83"/>
      <c r="AR153" s="153"/>
      <c r="AS153" s="82" t="str">
        <f>IF([11]回答表!F17="下水道事業",IF([11]回答表!X45="●",[11]回答表!Y201,IF([11]回答表!AA45="●",[11]回答表!Y267,"")),"")</f>
        <v/>
      </c>
      <c r="AT153" s="83"/>
      <c r="AU153" s="83"/>
      <c r="AV153" s="83"/>
      <c r="AW153" s="83"/>
      <c r="AX153" s="83"/>
      <c r="AY153" s="83"/>
      <c r="AZ153" s="153"/>
      <c r="BA153" s="82" t="str">
        <f>IF([11]回答表!F17="下水道事業",IF([11]回答表!X45="●",[11]回答表!Y202,IF([11]回答表!AA45="●",[11]回答表!Y268,"")),"")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IF([11]回答表!F17="下水道事業",IF([11]回答表!AA45="●","●",""),"")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IF([11]回答表!F17="下水道事業",IF([11]回答表!X45="●",[11]回答表!Y207,IF([11]回答表!AA45="●",[11]回答表!Y273,"")),"")</f>
        <v/>
      </c>
      <c r="V159" s="83"/>
      <c r="W159" s="83"/>
      <c r="X159" s="83"/>
      <c r="Y159" s="83"/>
      <c r="Z159" s="83"/>
      <c r="AA159" s="83"/>
      <c r="AB159" s="153"/>
      <c r="AC159" s="82" t="str">
        <f>IF([11]回答表!F17="下水道事業",IF([11]回答表!X45="●",[11]回答表!Y208,IF([11]回答表!AA45="●",[11]回答表!Y274,"")),"")</f>
        <v/>
      </c>
      <c r="AD159" s="83"/>
      <c r="AE159" s="83"/>
      <c r="AF159" s="83"/>
      <c r="AG159" s="83"/>
      <c r="AH159" s="83"/>
      <c r="AI159" s="83"/>
      <c r="AJ159" s="153"/>
      <c r="AK159" s="82" t="str">
        <f>IF([11]回答表!F17="下水道事業",IF([11]回答表!X45="●",[11]回答表!Y209,IF([11]回答表!AA45="●",[11]回答表!Y275,"")),"")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IF([11]回答表!F17="下水道事業",IF([11]回答表!AD45="●","●",""),"")</f>
        <v/>
      </c>
      <c r="O164" s="131"/>
      <c r="P164" s="131"/>
      <c r="Q164" s="132"/>
      <c r="R164" s="119"/>
      <c r="S164" s="119"/>
      <c r="T164" s="119"/>
      <c r="U164" s="133" t="str">
        <f>IF([11]回答表!F17="下水道事業",IF([11]回答表!AD45="●",[11]回答表!B289,""),"")</f>
        <v/>
      </c>
      <c r="V164" s="134"/>
      <c r="W164" s="134"/>
      <c r="X164" s="134"/>
      <c r="Y164" s="134"/>
      <c r="Z164" s="134"/>
      <c r="AA164" s="134"/>
      <c r="AB164" s="134"/>
      <c r="AC164" s="134"/>
      <c r="AD164" s="134"/>
      <c r="AE164" s="134"/>
      <c r="AF164" s="134"/>
      <c r="AG164" s="134"/>
      <c r="AH164" s="134"/>
      <c r="AI164" s="134"/>
      <c r="AJ164" s="135"/>
      <c r="AK164" s="183"/>
      <c r="AL164" s="183"/>
      <c r="AM164" s="133" t="str">
        <f>IF([11]回答表!F17="下水道事業",IF([11]回答表!AD45="●",[11]回答表!B295,""),"")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IF([11]回答表!BD17="●",IF([11]回答表!X45="●","●",""),"")</f>
        <v/>
      </c>
      <c r="O176" s="131"/>
      <c r="P176" s="131"/>
      <c r="Q176" s="132"/>
      <c r="R176" s="119"/>
      <c r="S176" s="119"/>
      <c r="T176" s="119"/>
      <c r="U176" s="133" t="str">
        <f>IF([11]回答表!BD17="●",IF([11]回答表!X45="●",[11]回答表!B158,IF([11]回答表!AA45="●",[11]回答表!B223,"")),"")</f>
        <v/>
      </c>
      <c r="V176" s="134"/>
      <c r="W176" s="134"/>
      <c r="X176" s="134"/>
      <c r="Y176" s="134"/>
      <c r="Z176" s="134"/>
      <c r="AA176" s="134"/>
      <c r="AB176" s="134"/>
      <c r="AC176" s="134"/>
      <c r="AD176" s="134"/>
      <c r="AE176" s="134"/>
      <c r="AF176" s="134"/>
      <c r="AG176" s="134"/>
      <c r="AH176" s="134"/>
      <c r="AI176" s="134"/>
      <c r="AJ176" s="135"/>
      <c r="AK176" s="136"/>
      <c r="AL176" s="136"/>
      <c r="AM176" s="138" t="str">
        <f>IF([11]回答表!BD17="●",IF([11]回答表!X45="●",[11]回答表!B212,IF([11]回答表!AA45="●",[11]回答表!B278,"")),"")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IF([11]回答表!BD17="●",IF([11]回答表!X45="●",[11]回答表!E212,IF([11]回答表!AA45="●",[11]回答表!E278,"")),"")</f>
        <v/>
      </c>
      <c r="AN179" s="151"/>
      <c r="AO179" s="151"/>
      <c r="AP179" s="151"/>
      <c r="AQ179" s="150" t="str">
        <f>IF([11]回答表!BD17="●",IF([11]回答表!X45="●",[11]回答表!E213,IF([11]回答表!AA45="●",[11]回答表!E279,"")),"")</f>
        <v/>
      </c>
      <c r="AR179" s="151"/>
      <c r="AS179" s="151"/>
      <c r="AT179" s="151"/>
      <c r="AU179" s="150" t="str">
        <f>IF([11]回答表!BD17="●",IF([11]回答表!X45="●",[11]回答表!E214,IF([11]回答表!AA45="●",[11]回答表!E280,"")),"")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IF([11]回答表!BD17="●",IF([11]回答表!AA45="●","●",""),"")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IF([11]回答表!BD17="●",IF([11]回答表!AD45="●","●",""),"")</f>
        <v/>
      </c>
      <c r="O188" s="131"/>
      <c r="P188" s="131"/>
      <c r="Q188" s="132"/>
      <c r="R188" s="119"/>
      <c r="S188" s="119"/>
      <c r="T188" s="119"/>
      <c r="U188" s="133" t="str">
        <f>IF([11]回答表!BD17="●",IF([11]回答表!AD45="●",[11]回答表!B289,""),"")</f>
        <v/>
      </c>
      <c r="V188" s="134"/>
      <c r="W188" s="134"/>
      <c r="X188" s="134"/>
      <c r="Y188" s="134"/>
      <c r="Z188" s="134"/>
      <c r="AA188" s="134"/>
      <c r="AB188" s="134"/>
      <c r="AC188" s="134"/>
      <c r="AD188" s="134"/>
      <c r="AE188" s="134"/>
      <c r="AF188" s="134"/>
      <c r="AG188" s="134"/>
      <c r="AH188" s="134"/>
      <c r="AI188" s="134"/>
      <c r="AJ188" s="135"/>
      <c r="AK188" s="183"/>
      <c r="AL188" s="183"/>
      <c r="AM188" s="133" t="str">
        <f>IF([11]回答表!BD17="●",IF([11]回答表!AD45="●",[11]回答表!B295,""),"")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IF([11]回答表!X46="●","●","")</f>
        <v/>
      </c>
      <c r="O200" s="131"/>
      <c r="P200" s="131"/>
      <c r="Q200" s="132"/>
      <c r="R200" s="119"/>
      <c r="S200" s="119"/>
      <c r="T200" s="119"/>
      <c r="U200" s="133" t="str">
        <f>IF([11]回答表!X46="●",[11]回答表!B307,IF([11]回答表!AA46="●",[11]回答表!B324,""))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IF([11]回答表!X46="●",[11]回答表!U313,IF([11]回答表!AA46="●",[11]回答表!U330,""))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IF([11]回答表!X46="●",[11]回答表!G313,IF([11]回答表!AA46="●",[11]回答表!G330,""))</f>
        <v/>
      </c>
      <c r="AN203" s="83"/>
      <c r="AO203" s="83"/>
      <c r="AP203" s="83"/>
      <c r="AQ203" s="83"/>
      <c r="AR203" s="83"/>
      <c r="AS203" s="83"/>
      <c r="AT203" s="153"/>
      <c r="AU203" s="82" t="str">
        <f>IF([11]回答表!X46="●",[11]回答表!G314,IF([11]回答表!AA46="●",[11]回答表!G331,""))</f>
        <v/>
      </c>
      <c r="AV203" s="83"/>
      <c r="AW203" s="83"/>
      <c r="AX203" s="83"/>
      <c r="AY203" s="83"/>
      <c r="AZ203" s="83"/>
      <c r="BA203" s="83"/>
      <c r="BB203" s="153"/>
      <c r="BC203" s="120"/>
      <c r="BD203" s="109"/>
      <c r="BE203" s="109"/>
      <c r="BF203" s="150" t="str">
        <f>IF([11]回答表!X46="●",[11]回答表!X313,IF([11]回答表!AA46="●",[11]回答表!X330,""))</f>
        <v/>
      </c>
      <c r="BG203" s="151"/>
      <c r="BH203" s="151"/>
      <c r="BI203" s="151"/>
      <c r="BJ203" s="150" t="str">
        <f>IF([11]回答表!X46="●",[11]回答表!X314,IF([11]回答表!AA46="●",[11]回答表!X331,""))</f>
        <v/>
      </c>
      <c r="BK203" s="151"/>
      <c r="BL203" s="151"/>
      <c r="BM203" s="152"/>
      <c r="BN203" s="150" t="str">
        <f>IF([11]回答表!X46="●",[11]回答表!X315,IF([11]回答表!AA46="●",[11]回答表!X332,""))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IF([11]回答表!AD46="●","●","")</f>
        <v/>
      </c>
      <c r="O212" s="131"/>
      <c r="P212" s="131"/>
      <c r="Q212" s="132"/>
      <c r="R212" s="119"/>
      <c r="S212" s="119"/>
      <c r="T212" s="119"/>
      <c r="U212" s="133" t="str">
        <f>IF([11]回答表!AD46="●",[11]回答表!B337,"")</f>
        <v/>
      </c>
      <c r="V212" s="134"/>
      <c r="W212" s="134"/>
      <c r="X212" s="134"/>
      <c r="Y212" s="134"/>
      <c r="Z212" s="134"/>
      <c r="AA212" s="134"/>
      <c r="AB212" s="134"/>
      <c r="AC212" s="134"/>
      <c r="AD212" s="134"/>
      <c r="AE212" s="134"/>
      <c r="AF212" s="134"/>
      <c r="AG212" s="134"/>
      <c r="AH212" s="134"/>
      <c r="AI212" s="134"/>
      <c r="AJ212" s="135"/>
      <c r="AK212" s="259"/>
      <c r="AL212" s="259"/>
      <c r="AM212" s="133" t="str">
        <f>IF([11]回答表!AD46="●",[11]回答表!B343,"")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IF([11]回答表!X47="●","●","")</f>
        <v/>
      </c>
      <c r="O224" s="131"/>
      <c r="P224" s="131"/>
      <c r="Q224" s="132"/>
      <c r="R224" s="119"/>
      <c r="S224" s="119"/>
      <c r="T224" s="119"/>
      <c r="U224" s="133" t="str">
        <f>IF([11]回答表!X47="●",[11]回答表!B356,IF([11]回答表!AA47="●",[11]回答表!B379,""))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IF([11]回答表!X47="●",[11]回答表!B362,"")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IF([11]回答表!X47="●",[11]回答表!B368,IF([11]回答表!AA47="●",[11]回答表!B385,""))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IF([11]回答表!X47="●",[11]回答表!E368,IF([11]回答表!AA47="●",[11]回答表!E385,""))</f>
        <v/>
      </c>
      <c r="BG227" s="151"/>
      <c r="BH227" s="151"/>
      <c r="BI227" s="151"/>
      <c r="BJ227" s="150" t="str">
        <f>IF([11]回答表!X47="●",[11]回答表!E369,IF([11]回答表!AA47="●",[11]回答表!E386,""))</f>
        <v/>
      </c>
      <c r="BK227" s="151"/>
      <c r="BL227" s="151"/>
      <c r="BM227" s="152"/>
      <c r="BN227" s="150" t="str">
        <f>IF([11]回答表!X47="●",[11]回答表!E370,IF([11]回答表!AA47="●",[11]回答表!E387,""))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IF([11]回答表!AD47="●","●","")</f>
        <v/>
      </c>
      <c r="O236" s="131"/>
      <c r="P236" s="131"/>
      <c r="Q236" s="132"/>
      <c r="R236" s="119"/>
      <c r="S236" s="119"/>
      <c r="T236" s="119"/>
      <c r="U236" s="133" t="str">
        <f>IF([11]回答表!AD47="●",[11]回答表!B392,"")</f>
        <v/>
      </c>
      <c r="V236" s="134"/>
      <c r="W236" s="134"/>
      <c r="X236" s="134"/>
      <c r="Y236" s="134"/>
      <c r="Z236" s="134"/>
      <c r="AA236" s="134"/>
      <c r="AB236" s="134"/>
      <c r="AC236" s="134"/>
      <c r="AD236" s="134"/>
      <c r="AE236" s="134"/>
      <c r="AF236" s="134"/>
      <c r="AG236" s="134"/>
      <c r="AH236" s="134"/>
      <c r="AI236" s="134"/>
      <c r="AJ236" s="135"/>
      <c r="AK236" s="259"/>
      <c r="AL236" s="259"/>
      <c r="AM236" s="133" t="str">
        <f>IF([11]回答表!AD47="●",[11]回答表!B398,"")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IF([11]回答表!X48="●","●","")</f>
        <v/>
      </c>
      <c r="O248" s="131"/>
      <c r="P248" s="131"/>
      <c r="Q248" s="132"/>
      <c r="R248" s="119"/>
      <c r="S248" s="119"/>
      <c r="T248" s="119"/>
      <c r="U248" s="133" t="str">
        <f>IF([11]回答表!X48="●",[11]回答表!B411,IF([11]回答表!AA48="●",[11]回答表!B425,""))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IF([11]回答表!X48="●",[11]回答表!BC418,IF([11]回答表!AA48="●",[11]回答表!BC432,""))</f>
        <v/>
      </c>
      <c r="AR248" s="272"/>
      <c r="AS248" s="272"/>
      <c r="AT248" s="272"/>
      <c r="AU248" s="273" t="s">
        <v>73</v>
      </c>
      <c r="AV248" s="274"/>
      <c r="AW248" s="274"/>
      <c r="AX248" s="275"/>
      <c r="AY248" s="272" t="str">
        <f>IF([11]回答表!X48="●",[11]回答表!BC423,IF([11]回答表!AA48="●",[11]回答表!BC437,""))</f>
        <v/>
      </c>
      <c r="AZ248" s="272"/>
      <c r="BA248" s="272"/>
      <c r="BB248" s="272"/>
      <c r="BC248" s="120"/>
      <c r="BD248" s="109"/>
      <c r="BE248" s="109"/>
      <c r="BF248" s="138" t="str">
        <f>IF([11]回答表!X48="●",[11]回答表!S417,IF([11]回答表!AA48="●",[11]回答表!S431,""))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IF([11]回答表!X48="●",[11]回答表!BC419,IF([11]回答表!AA48="●",[11]回答表!BC433,""))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IF([11]回答表!X48="●",[11]回答表!V417,IF([11]回答表!AA48="●",[11]回答表!V431,""))</f>
        <v/>
      </c>
      <c r="BG251" s="151"/>
      <c r="BH251" s="151"/>
      <c r="BI251" s="151"/>
      <c r="BJ251" s="150" t="str">
        <f>IF([11]回答表!X48="●",[11]回答表!V418,IF([11]回答表!AA48="●",[11]回答表!V432,""))</f>
        <v/>
      </c>
      <c r="BK251" s="151"/>
      <c r="BL251" s="151"/>
      <c r="BM251" s="152"/>
      <c r="BN251" s="150" t="str">
        <f>IF([11]回答表!X48="●",[11]回答表!V419,IF([11]回答表!AA48="●",[11]回答表!V433,""))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IF([11]回答表!X48="●",[11]回答表!BC420,IF([11]回答表!AA48="●",[11]回答表!BC434,""))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IF([11]回答表!X48="●",[11]回答表!BC424,IF([11]回答表!AA48="●",[11]回答表!BC438,""))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IF([11]回答表!X48="●",[11]回答表!BC421,IF([11]回答表!AA48="●",[11]回答表!BC435,""))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IF([11]回答表!X48="●",[11]回答表!BC422,IF([11]回答表!AA48="●",[11]回答表!BC436,""))</f>
        <v/>
      </c>
      <c r="AR256" s="272"/>
      <c r="AS256" s="272"/>
      <c r="AT256" s="272"/>
      <c r="AU256" s="224" t="s">
        <v>79</v>
      </c>
      <c r="AV256" s="225"/>
      <c r="AW256" s="225"/>
      <c r="AX256" s="226"/>
      <c r="AY256" s="282" t="str">
        <f>IF([11]回答表!X48="●",[11]回答表!BC425,IF([11]回答表!AA48="●",[11]回答表!BC439,""))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IF([11]回答表!AD48="●","●","")</f>
        <v/>
      </c>
      <c r="O260" s="131"/>
      <c r="P260" s="131"/>
      <c r="Q260" s="132"/>
      <c r="R260" s="119"/>
      <c r="S260" s="119"/>
      <c r="T260" s="119"/>
      <c r="U260" s="133" t="str">
        <f>IF([11]回答表!AD48="●",[11]回答表!B439,"")</f>
        <v/>
      </c>
      <c r="V260" s="134"/>
      <c r="W260" s="134"/>
      <c r="X260" s="134"/>
      <c r="Y260" s="134"/>
      <c r="Z260" s="134"/>
      <c r="AA260" s="134"/>
      <c r="AB260" s="134"/>
      <c r="AC260" s="134"/>
      <c r="AD260" s="134"/>
      <c r="AE260" s="134"/>
      <c r="AF260" s="134"/>
      <c r="AG260" s="134"/>
      <c r="AH260" s="134"/>
      <c r="AI260" s="134"/>
      <c r="AJ260" s="135"/>
      <c r="AK260" s="183"/>
      <c r="AL260" s="183"/>
      <c r="AM260" s="133" t="str">
        <f>IF([11]回答表!AD48="●",[11]回答表!B445,"")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IF([11]回答表!X49="●","●","")</f>
        <v/>
      </c>
      <c r="O271" s="131"/>
      <c r="P271" s="131"/>
      <c r="Q271" s="132"/>
      <c r="R271" s="119"/>
      <c r="S271" s="119"/>
      <c r="T271" s="119"/>
      <c r="U271" s="133" t="str">
        <f>IF([11]回答表!X49="●",[11]回答表!B458,IF([11]回答表!AA49="●",[11]回答表!B475,""))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IF([11]回答表!X49="●",[11]回答表!B468,IF([11]回答表!AA49="●",[11]回答表!B485,""))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IF([11]回答表!X49="●",[11]回答表!G464,IF([11]回答表!AA49="●",[11]回答表!G481,""))</f>
        <v/>
      </c>
      <c r="AN273" s="83"/>
      <c r="AO273" s="83"/>
      <c r="AP273" s="83"/>
      <c r="AQ273" s="83"/>
      <c r="AR273" s="83"/>
      <c r="AS273" s="83"/>
      <c r="AT273" s="153"/>
      <c r="AU273" s="82" t="str">
        <f>IF([11]回答表!X49="●",[11]回答表!G465,IF([11]回答表!AA49="●",[11]回答表!G482,""))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IF([11]回答表!X49="●",[11]回答表!E468,IF([11]回答表!AA49="●",[11]回答表!E485,""))</f>
        <v/>
      </c>
      <c r="BG274" s="151"/>
      <c r="BH274" s="151"/>
      <c r="BI274" s="151"/>
      <c r="BJ274" s="150" t="str">
        <f>IF([11]回答表!X49="●",[11]回答表!E469,IF([11]回答表!AA49="●",[11]回答表!E486,""))</f>
        <v/>
      </c>
      <c r="BK274" s="151"/>
      <c r="BL274" s="151"/>
      <c r="BM274" s="152"/>
      <c r="BN274" s="150" t="str">
        <f>IF([11]回答表!X49="●",[11]回答表!E470,IF([11]回答表!AA49="●",[11]回答表!E487,""))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IF([11]回答表!AD49="●","●","")</f>
        <v/>
      </c>
      <c r="O283" s="131"/>
      <c r="P283" s="131"/>
      <c r="Q283" s="132"/>
      <c r="R283" s="119"/>
      <c r="S283" s="119"/>
      <c r="T283" s="119"/>
      <c r="U283" s="133" t="str">
        <f>IF([11]回答表!AD49="●",[11]回答表!B492,"")</f>
        <v/>
      </c>
      <c r="V283" s="134"/>
      <c r="W283" s="134"/>
      <c r="X283" s="134"/>
      <c r="Y283" s="134"/>
      <c r="Z283" s="134"/>
      <c r="AA283" s="134"/>
      <c r="AB283" s="134"/>
      <c r="AC283" s="134"/>
      <c r="AD283" s="134"/>
      <c r="AE283" s="134"/>
      <c r="AF283" s="134"/>
      <c r="AG283" s="134"/>
      <c r="AH283" s="134"/>
      <c r="AI283" s="134"/>
      <c r="AJ283" s="135"/>
      <c r="AK283" s="136"/>
      <c r="AL283" s="136"/>
      <c r="AM283" s="133" t="str">
        <f>IF([11]回答表!AD49="●",[11]回答表!B498,"")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IF([11]回答表!R50="●",[11]回答表!B511,"")</f>
        <v>　令和2年4月1日より公営企業化し、昨年度、公共下水道事業や農業集落排水事業など8事業分をまとめた経営戦略を策定している。使用料収入は、年々減収し累積赤字が膨らむため使用料改定の検討を早期に行うこととしている。また、投資については生活排水整備構想のなかで様々な検討したものの、現段階では現行の経営体制・手法が良いと判断した。</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1B5B0-72B6-45CE-BF92-E3B024BA6DD2}">
  <sheetPr>
    <pageSetUpPr fitToPage="1"/>
  </sheetPr>
  <dimension ref="A1:CN315"/>
  <sheetViews>
    <sheetView showZeros="0" view="pageBreakPreview" zoomScale="60" zoomScaleNormal="55" workbookViewId="0">
      <selection activeCell="N102" sqref="N102"/>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IF(COUNTIF([12]回答表!K15,"*")&gt;0,[12]回答表!K15,"")</f>
        <v>由利本荘市</v>
      </c>
      <c r="D11" s="8"/>
      <c r="E11" s="8"/>
      <c r="F11" s="8"/>
      <c r="G11" s="8"/>
      <c r="H11" s="8"/>
      <c r="I11" s="8"/>
      <c r="J11" s="8"/>
      <c r="K11" s="8"/>
      <c r="L11" s="8"/>
      <c r="M11" s="8"/>
      <c r="N11" s="8"/>
      <c r="O11" s="8"/>
      <c r="P11" s="8"/>
      <c r="Q11" s="8"/>
      <c r="R11" s="8"/>
      <c r="S11" s="8"/>
      <c r="T11" s="8"/>
      <c r="U11" s="22" t="str">
        <f>IF(COUNTIF([12]回答表!F17,"*")&gt;0,[12]回答表!F17,"")</f>
        <v>観光施設事業</v>
      </c>
      <c r="V11" s="23"/>
      <c r="W11" s="23"/>
      <c r="X11" s="23"/>
      <c r="Y11" s="23"/>
      <c r="Z11" s="23"/>
      <c r="AA11" s="23"/>
      <c r="AB11" s="23"/>
      <c r="AC11" s="23"/>
      <c r="AD11" s="23"/>
      <c r="AE11" s="23"/>
      <c r="AF11" s="10"/>
      <c r="AG11" s="10"/>
      <c r="AH11" s="10"/>
      <c r="AI11" s="10"/>
      <c r="AJ11" s="10"/>
      <c r="AK11" s="10"/>
      <c r="AL11" s="10"/>
      <c r="AM11" s="10"/>
      <c r="AN11" s="11"/>
      <c r="AO11" s="24" t="str">
        <f>IF(COUNTIF([12]回答表!W17,"*")&gt;0,[12]回答表!W17,"")</f>
        <v>索道</v>
      </c>
      <c r="AP11" s="10"/>
      <c r="AQ11" s="10"/>
      <c r="AR11" s="10"/>
      <c r="AS11" s="10"/>
      <c r="AT11" s="10"/>
      <c r="AU11" s="10"/>
      <c r="AV11" s="10"/>
      <c r="AW11" s="10"/>
      <c r="AX11" s="10"/>
      <c r="AY11" s="10"/>
      <c r="AZ11" s="10"/>
      <c r="BA11" s="10"/>
      <c r="BB11" s="10"/>
      <c r="BC11" s="10"/>
      <c r="BD11" s="10"/>
      <c r="BE11" s="10"/>
      <c r="BF11" s="11"/>
      <c r="BG11" s="21" t="str">
        <f>IF(COUNTIF([12]回答表!F19,"*")&gt;0,[12]回答表!F19,"")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IF([12]回答表!R43="●","●","")</f>
        <v/>
      </c>
      <c r="E24" s="80"/>
      <c r="F24" s="80"/>
      <c r="G24" s="80"/>
      <c r="H24" s="80"/>
      <c r="I24" s="80"/>
      <c r="J24" s="81"/>
      <c r="K24" s="79" t="str">
        <f>IF([12]回答表!R44="●","●","")</f>
        <v/>
      </c>
      <c r="L24" s="80"/>
      <c r="M24" s="80"/>
      <c r="N24" s="80"/>
      <c r="O24" s="80"/>
      <c r="P24" s="80"/>
      <c r="Q24" s="81"/>
      <c r="R24" s="79" t="str">
        <f>IF([12]回答表!R45="●","●","")</f>
        <v/>
      </c>
      <c r="S24" s="80"/>
      <c r="T24" s="80"/>
      <c r="U24" s="80"/>
      <c r="V24" s="80"/>
      <c r="W24" s="80"/>
      <c r="X24" s="81"/>
      <c r="Y24" s="79" t="str">
        <f>IF([12]回答表!R46="●","●","")</f>
        <v/>
      </c>
      <c r="Z24" s="80"/>
      <c r="AA24" s="80"/>
      <c r="AB24" s="80"/>
      <c r="AC24" s="80"/>
      <c r="AD24" s="80"/>
      <c r="AE24" s="81"/>
      <c r="AF24" s="79" t="str">
        <f>IF([12]回答表!R47="●","●","")</f>
        <v/>
      </c>
      <c r="AG24" s="80"/>
      <c r="AH24" s="80"/>
      <c r="AI24" s="80"/>
      <c r="AJ24" s="80"/>
      <c r="AK24" s="80"/>
      <c r="AL24" s="81"/>
      <c r="AM24" s="79" t="str">
        <f>IF([12]回答表!R48="●","●","")</f>
        <v/>
      </c>
      <c r="AN24" s="80"/>
      <c r="AO24" s="80"/>
      <c r="AP24" s="80"/>
      <c r="AQ24" s="80"/>
      <c r="AR24" s="80"/>
      <c r="AS24" s="81"/>
      <c r="AT24" s="79" t="str">
        <f>IF([12]回答表!R49="●","●","")</f>
        <v/>
      </c>
      <c r="AU24" s="80"/>
      <c r="AV24" s="80"/>
      <c r="AW24" s="80"/>
      <c r="AX24" s="80"/>
      <c r="AY24" s="80"/>
      <c r="AZ24" s="81"/>
      <c r="BA24" s="68"/>
      <c r="BB24" s="82" t="str">
        <f>IF([12]回答表!R50="●","●","")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IF([12]回答表!X43="●","●","")</f>
        <v/>
      </c>
      <c r="O36" s="131"/>
      <c r="P36" s="131"/>
      <c r="Q36" s="132"/>
      <c r="R36" s="119"/>
      <c r="S36" s="119"/>
      <c r="T36" s="119"/>
      <c r="U36" s="133" t="str">
        <f>IF([12]回答表!X43="●",[12]回答表!B59,IF([12]回答表!AA43="●",[12]回答表!B79,""))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IF([12]回答表!X43="●",[12]回答表!S65,IF([12]回答表!AA43="●",[12]回答表!S85,""))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IF([12]回答表!X43="●",[12]回答表!G65,IF([12]回答表!AA43="●",[12]回答表!G85,""))</f>
        <v/>
      </c>
      <c r="AN38" s="83"/>
      <c r="AO38" s="83"/>
      <c r="AP38" s="83"/>
      <c r="AQ38" s="83"/>
      <c r="AR38" s="83"/>
      <c r="AS38" s="83"/>
      <c r="AT38" s="153"/>
      <c r="AU38" s="82" t="str">
        <f>IF([12]回答表!X43="●",[12]回答表!G66,IF([12]回答表!AA43="●",[12]回答表!G86,""))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IF([12]回答表!X43="●",[12]回答表!V65,IF([12]回答表!AA43="●",[12]回答表!V85,""))</f>
        <v/>
      </c>
      <c r="BG39" s="16"/>
      <c r="BH39" s="16"/>
      <c r="BI39" s="17"/>
      <c r="BJ39" s="150" t="str">
        <f>IF([12]回答表!X43="●",[12]回答表!V66,IF([12]回答表!AA43="●",[12]回答表!V86,""))</f>
        <v/>
      </c>
      <c r="BK39" s="16"/>
      <c r="BL39" s="16"/>
      <c r="BM39" s="17"/>
      <c r="BN39" s="150" t="str">
        <f>IF([12]回答表!X43="●",[12]回答表!V67,IF([12]回答表!AA43="●",[12]回答表!V87,""))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IF([12]回答表!X43="●",[12]回答表!O71,IF([12]回答表!AA43="●",[12]回答表!O91,""))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IF([12]回答表!X43="●",[12]回答表!O72,IF([12]回答表!AA43="●",[12]回答表!O92,""))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IF([12]回答表!X43="●",[12]回答表!O73,IF([12]回答表!AA43="●",[12]回答表!O93,""))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IF([12]回答表!X43="●",[12]回答表!O74,IF([12]回答表!AA43="●",[12]回答表!O94,""))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IF([12]回答表!X43="●",[12]回答表!AG71,IF([12]回答表!AA43="●",[12]回答表!AG91,""))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IF([12]回答表!X43="●",[12]回答表!AG72,IF([12]回答表!AA43="●",[12]回答表!AG92,""))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IF([12]回答表!AD43="●","●","")</f>
        <v/>
      </c>
      <c r="O51" s="131"/>
      <c r="P51" s="131"/>
      <c r="Q51" s="132"/>
      <c r="R51" s="119"/>
      <c r="S51" s="119"/>
      <c r="T51" s="119"/>
      <c r="U51" s="133" t="str">
        <f>IF([12]回答表!AD43="●",[12]回答表!B99,"")</f>
        <v/>
      </c>
      <c r="V51" s="134"/>
      <c r="W51" s="134"/>
      <c r="X51" s="134"/>
      <c r="Y51" s="134"/>
      <c r="Z51" s="134"/>
      <c r="AA51" s="134"/>
      <c r="AB51" s="134"/>
      <c r="AC51" s="134"/>
      <c r="AD51" s="134"/>
      <c r="AE51" s="134"/>
      <c r="AF51" s="134"/>
      <c r="AG51" s="134"/>
      <c r="AH51" s="134"/>
      <c r="AI51" s="134"/>
      <c r="AJ51" s="135"/>
      <c r="AK51" s="183"/>
      <c r="AL51" s="183"/>
      <c r="AM51" s="133" t="str">
        <f>IF([12]回答表!AD43="●",[12]回答表!B104,"")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IF([12]回答表!X44="●","●","")</f>
        <v/>
      </c>
      <c r="O62" s="131"/>
      <c r="P62" s="131"/>
      <c r="Q62" s="132"/>
      <c r="R62" s="119"/>
      <c r="S62" s="119"/>
      <c r="T62" s="119"/>
      <c r="U62" s="133" t="str">
        <f>IF([12]回答表!X44="●",[12]回答表!B115,IF([12]回答表!AA44="●",[12]回答表!B127,""))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IF([12]回答表!X44="●",[12]回答表!S121,IF([12]回答表!AA44="●",[12]回答表!S133,""))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IF([12]回答表!X44="●",[12]回答表!J121,IF([12]回答表!AA44="●",[12]回答表!J133,""))</f>
        <v/>
      </c>
      <c r="AN65" s="83"/>
      <c r="AO65" s="83"/>
      <c r="AP65" s="83"/>
      <c r="AQ65" s="83"/>
      <c r="AR65" s="83"/>
      <c r="AS65" s="83"/>
      <c r="AT65" s="153"/>
      <c r="AU65" s="82" t="str">
        <f>IF([12]回答表!X44="●",[12]回答表!J122,IF([12]回答表!AA44="●",[12]回答表!J134,""))</f>
        <v/>
      </c>
      <c r="AV65" s="83"/>
      <c r="AW65" s="83"/>
      <c r="AX65" s="83"/>
      <c r="AY65" s="83"/>
      <c r="AZ65" s="83"/>
      <c r="BA65" s="83"/>
      <c r="BB65" s="153"/>
      <c r="BC65" s="120"/>
      <c r="BD65" s="109"/>
      <c r="BE65" s="109"/>
      <c r="BF65" s="150" t="str">
        <f>IF([12]回答表!X44="●",[12]回答表!V121,IF([12]回答表!AA44="●",[12]回答表!V133,""))</f>
        <v/>
      </c>
      <c r="BG65" s="151"/>
      <c r="BH65" s="151"/>
      <c r="BI65" s="151"/>
      <c r="BJ65" s="150" t="str">
        <f>IF([12]回答表!X44="●",[12]回答表!V122,IF([12]回答表!AA44="●",[12]回答表!V134,""))</f>
        <v/>
      </c>
      <c r="BK65" s="151"/>
      <c r="BL65" s="151"/>
      <c r="BM65" s="151"/>
      <c r="BN65" s="150" t="str">
        <f>IF([12]回答表!X44="●",[12]回答表!V123,IF([12]回答表!AA44="●",[12]回答表!V135,""))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IF([12]回答表!AD44="●","●","")</f>
        <v/>
      </c>
      <c r="O74" s="131"/>
      <c r="P74" s="131"/>
      <c r="Q74" s="132"/>
      <c r="R74" s="119"/>
      <c r="S74" s="119"/>
      <c r="T74" s="119"/>
      <c r="U74" s="133" t="str">
        <f>IF([12]回答表!AD44="●",[12]回答表!B140,"")</f>
        <v/>
      </c>
      <c r="V74" s="134"/>
      <c r="W74" s="134"/>
      <c r="X74" s="134"/>
      <c r="Y74" s="134"/>
      <c r="Z74" s="134"/>
      <c r="AA74" s="134"/>
      <c r="AB74" s="134"/>
      <c r="AC74" s="134"/>
      <c r="AD74" s="134"/>
      <c r="AE74" s="134"/>
      <c r="AF74" s="134"/>
      <c r="AG74" s="134"/>
      <c r="AH74" s="134"/>
      <c r="AI74" s="134"/>
      <c r="AJ74" s="135"/>
      <c r="AK74" s="183"/>
      <c r="AL74" s="183"/>
      <c r="AM74" s="133" t="str">
        <f>IF([12]回答表!AD44="●",[12]回答表!B146,"")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IF([12]回答表!F17="水道事業",IF([12]回答表!X45="●","●",""),"")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IF([12]回答表!F17="水道事業",IF([12]回答表!X45="●",[12]回答表!B158,IF([12]回答表!AA45="●",[12]回答表!B223,"")),"")</f>
        <v/>
      </c>
      <c r="AN86" s="201"/>
      <c r="AO86" s="201"/>
      <c r="AP86" s="201"/>
      <c r="AQ86" s="201"/>
      <c r="AR86" s="201"/>
      <c r="AS86" s="201"/>
      <c r="AT86" s="201"/>
      <c r="AU86" s="201"/>
      <c r="AV86" s="201"/>
      <c r="AW86" s="201"/>
      <c r="AX86" s="201"/>
      <c r="AY86" s="201"/>
      <c r="AZ86" s="201"/>
      <c r="BA86" s="201"/>
      <c r="BB86" s="201"/>
      <c r="BC86" s="202"/>
      <c r="BD86" s="109"/>
      <c r="BE86" s="109"/>
      <c r="BF86" s="138" t="str">
        <f>IF([12]回答表!F17="水道事業",IF([12]回答表!X45="●",[12]回答表!B212,IF([12]回答表!AA45="●",[12]回答表!B278,"")),"")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IF([12]回答表!F17="水道事業",IF([12]回答表!X45="●",[12]回答表!J166,IF([12]回答表!AA45="●",[12]回答表!J231,"")),"")</f>
        <v/>
      </c>
      <c r="V88" s="83"/>
      <c r="W88" s="83"/>
      <c r="X88" s="83"/>
      <c r="Y88" s="83"/>
      <c r="Z88" s="83"/>
      <c r="AA88" s="83"/>
      <c r="AB88" s="153"/>
      <c r="AC88" s="82" t="str">
        <f>IF([12]回答表!F17="水道事業",IF([12]回答表!X45="●",[12]回答表!J173,IF([12]回答表!AA45="●",[12]回答表!J238,"")),"")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IF([12]回答表!F17="水道事業",IF([12]回答表!X45="●",[12]回答表!E212,IF([12]回答表!AA45="●",[12]回答表!E278,"")),"")</f>
        <v/>
      </c>
      <c r="BG89" s="151"/>
      <c r="BH89" s="151"/>
      <c r="BI89" s="151"/>
      <c r="BJ89" s="150" t="str">
        <f>IF([12]回答表!F17="水道事業",IF([12]回答表!X45="●",[12]回答表!E213,IF([12]回答表!AA45="●",[12]回答表!E279,"")),"")</f>
        <v/>
      </c>
      <c r="BK89" s="151"/>
      <c r="BL89" s="151"/>
      <c r="BM89" s="151"/>
      <c r="BN89" s="150" t="str">
        <f>IF([12]回答表!F17="水道事業",IF([12]回答表!X45="●",[12]回答表!E214,IF([12]回答表!AA45="●",[12]回答表!E280,"")),"")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IF([12]回答表!F17="水道事業",IF([12]回答表!AA45="●","●",""),"")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IF([12]回答表!F17="水道事業",IF([12]回答表!X45="●",[12]回答表!J176,IF([12]回答表!AA45="●",[12]回答表!J241,"")),"")</f>
        <v/>
      </c>
      <c r="V93" s="83"/>
      <c r="W93" s="83"/>
      <c r="X93" s="83"/>
      <c r="Y93" s="83"/>
      <c r="Z93" s="83"/>
      <c r="AA93" s="83"/>
      <c r="AB93" s="153"/>
      <c r="AC93" s="82" t="str">
        <f>IF([12]回答表!F17="水道事業",IF([12]回答表!X45="●",[12]回答表!J180,IF([12]回答表!AA45="●",[12]回答表!J245,"")),"")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IF([12]回答表!F17="水道事業",IF([12]回答表!AD45="●","●",""),"")</f>
        <v/>
      </c>
      <c r="O98" s="131"/>
      <c r="P98" s="131"/>
      <c r="Q98" s="132"/>
      <c r="R98" s="119"/>
      <c r="S98" s="119"/>
      <c r="T98" s="119"/>
      <c r="U98" s="133" t="str">
        <f>IF([12]回答表!F17="水道事業",IF([12]回答表!AD45="●",[12]回答表!B289,""),"")</f>
        <v/>
      </c>
      <c r="V98" s="134"/>
      <c r="W98" s="134"/>
      <c r="X98" s="134"/>
      <c r="Y98" s="134"/>
      <c r="Z98" s="134"/>
      <c r="AA98" s="134"/>
      <c r="AB98" s="134"/>
      <c r="AC98" s="134"/>
      <c r="AD98" s="134"/>
      <c r="AE98" s="134"/>
      <c r="AF98" s="134"/>
      <c r="AG98" s="134"/>
      <c r="AH98" s="134"/>
      <c r="AI98" s="134"/>
      <c r="AJ98" s="135"/>
      <c r="AK98" s="183"/>
      <c r="AL98" s="183"/>
      <c r="AM98" s="133" t="str">
        <f>IF([12]回答表!F17="水道事業",IF([12]回答表!AD45="●",[12]回答表!B295,""),"")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IF([12]回答表!F17="簡易水道事業",IF([12]回答表!X45="●",[12]回答表!B158,IF([12]回答表!AA45="●",[12]回答表!B223,"")),"")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IF([12]回答表!F17="簡易水道事業",IF([12]回答表!X45="●",[12]回答表!B212,IF([12]回答表!AA45="●",[12]回答表!B278,"")),"")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IF([12]回答表!F17="簡易水道事業",IF([12]回答表!X45="●","●",""),"")</f>
        <v/>
      </c>
      <c r="O112" s="131"/>
      <c r="P112" s="131"/>
      <c r="Q112" s="132"/>
      <c r="R112" s="119"/>
      <c r="S112" s="119"/>
      <c r="T112" s="119"/>
      <c r="U112" s="82" t="str">
        <f>IF([12]回答表!F17="簡易水道事業",IF([12]回答表!X45="●",[12]回答表!Y185,IF([12]回答表!AA45="●",[12]回答表!Y251,"")),"")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IF([12]回答表!F17="簡易水道事業",IF([12]回答表!X45="●",[12]回答表!E212,IF([12]回答表!AA45="●",[12]回答表!E278,"")),"")</f>
        <v/>
      </c>
      <c r="BG113" s="151"/>
      <c r="BH113" s="151"/>
      <c r="BI113" s="151"/>
      <c r="BJ113" s="150" t="str">
        <f>IF([12]回答表!F17="簡易水道事業",IF([12]回答表!X45="●",[12]回答表!E213,IF([12]回答表!AA45="●",[12]回答表!E279,"")),"")</f>
        <v/>
      </c>
      <c r="BK113" s="151"/>
      <c r="BL113" s="151"/>
      <c r="BM113" s="151"/>
      <c r="BN113" s="150" t="str">
        <f>IF([12]回答表!F17="簡易水道事業",IF([12]回答表!X45="●",[12]回答表!E214,IF([12]回答表!AA45="●",[12]回答表!E280,"")),"")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IF([12]回答表!F17="簡易水道事業",IF([12]回答表!X45="●",[12]回答表!Y186,IF([12]回答表!AA45="●",[12]回答表!Y252,"")),"")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IF([12]回答表!F17="簡易水道事業",IF([12]回答表!AA45="●","●",""),"")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IF([12]回答表!F17="簡易水道事業",IF([12]回答表!X45="●",[12]回答表!Y187,IF([12]回答表!AA45="●",[12]回答表!Y253,"")),"")</f>
        <v/>
      </c>
      <c r="V122" s="83"/>
      <c r="W122" s="83"/>
      <c r="X122" s="83"/>
      <c r="Y122" s="83"/>
      <c r="Z122" s="83"/>
      <c r="AA122" s="83"/>
      <c r="AB122" s="83"/>
      <c r="AC122" s="83"/>
      <c r="AD122" s="83"/>
      <c r="AE122" s="83"/>
      <c r="AF122" s="83"/>
      <c r="AG122" s="83"/>
      <c r="AH122" s="83"/>
      <c r="AI122" s="83"/>
      <c r="AJ122" s="153"/>
      <c r="AK122" s="68"/>
      <c r="AL122" s="68"/>
      <c r="AM122" s="233" t="str">
        <f>IF([12]回答表!F17="簡易水道事業",IF([12]回答表!X45="●",[12]回答表!Y189,IF([12]回答表!AA45="●",[12]回答表!Y255,"")),"")</f>
        <v/>
      </c>
      <c r="AN122" s="233"/>
      <c r="AO122" s="233"/>
      <c r="AP122" s="233"/>
      <c r="AQ122" s="233"/>
      <c r="AR122" s="233"/>
      <c r="AS122" s="233" t="str">
        <f>IF([12]回答表!F17="簡易水道事業",IF([12]回答表!X45="●",[12]回答表!Y190,IF([12]回答表!AA45="●",[12]回答表!Y256,"")),"")</f>
        <v/>
      </c>
      <c r="AT122" s="233"/>
      <c r="AU122" s="233"/>
      <c r="AV122" s="233"/>
      <c r="AW122" s="233"/>
      <c r="AX122" s="233"/>
      <c r="AY122" s="233" t="str">
        <f>IF([12]回答表!F17="簡易水道事業",IF([12]回答表!X45="●",[12]回答表!Y191,IF([12]回答表!AA45="●",[12]回答表!Y257,"")),"")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IF([12]回答表!F17="簡易水道事業",IF([12]回答表!AD45="●","●",""),"")</f>
        <v/>
      </c>
      <c r="O127" s="131"/>
      <c r="P127" s="131"/>
      <c r="Q127" s="132"/>
      <c r="R127" s="119"/>
      <c r="S127" s="119"/>
      <c r="T127" s="119"/>
      <c r="U127" s="133" t="str">
        <f>IF([12]回答表!F17="簡易水道事業",IF([12]回答表!AD45="●",[12]回答表!B289,""),"")</f>
        <v/>
      </c>
      <c r="V127" s="134"/>
      <c r="W127" s="134"/>
      <c r="X127" s="134"/>
      <c r="Y127" s="134"/>
      <c r="Z127" s="134"/>
      <c r="AA127" s="134"/>
      <c r="AB127" s="134"/>
      <c r="AC127" s="134"/>
      <c r="AD127" s="134"/>
      <c r="AE127" s="134"/>
      <c r="AF127" s="134"/>
      <c r="AG127" s="134"/>
      <c r="AH127" s="134"/>
      <c r="AI127" s="134"/>
      <c r="AJ127" s="135"/>
      <c r="AK127" s="183"/>
      <c r="AL127" s="183"/>
      <c r="AM127" s="133" t="str">
        <f>IF([12]回答表!F17="簡易水道事業",IF([12]回答表!AD45="●",[12]回答表!B295,""),"")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IF([12]回答表!F17="下水道事業",IF([12]回答表!X45="●","●",""),"")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IF([12]回答表!F17="下水道事業",IF([12]回答表!X45="●",[12]回答表!B158,IF([12]回答表!AA45="●",[12]回答表!B223,"")),"")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IF([12]回答表!F17="下水道事業",IF([12]回答表!X45="●",[12]回答表!B212,IF([12]回答表!AA45="●",[12]回答表!B278,"")),"")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IF([12]回答表!F17="下水道事業",IF([12]回答表!X45="●",[12]回答表!Y193,IF([12]回答表!AA45="●",[12]回答表!Y259,"")),"")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IF([12]回答表!F17="下水道事業",IF([12]回答表!X45="●",[12]回答表!E212,IF([12]回答表!AA45="●",[12]回答表!E278,"")),"")</f>
        <v/>
      </c>
      <c r="BG142" s="151"/>
      <c r="BH142" s="151"/>
      <c r="BI142" s="151"/>
      <c r="BJ142" s="150" t="str">
        <f>IF([12]回答表!F17="下水道事業",IF([12]回答表!X45="●",[12]回答表!E213,IF([12]回答表!AA45="●",[12]回答表!E279,"")),"")</f>
        <v/>
      </c>
      <c r="BK142" s="151"/>
      <c r="BL142" s="151"/>
      <c r="BM142" s="151"/>
      <c r="BN142" s="150" t="str">
        <f>IF([12]回答表!F17="下水道事業",IF([12]回答表!X45="●",[12]回答表!E214,IF([12]回答表!AA45="●",[12]回答表!E280,"")),"")</f>
        <v/>
      </c>
      <c r="BO142" s="151"/>
      <c r="BP142" s="151"/>
      <c r="BQ142" s="152"/>
      <c r="BR142" s="112"/>
      <c r="BX142" s="200" t="str">
        <f>IF([12]回答表!AQ20="下水道事業",IF([12]回答表!BI48="○",[12]回答表!AM161,IF([12]回答表!BL48="○",[12]回答表!AM226,"")),"")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IF([12]回答表!F17="下水道事業",IF([12]回答表!X45="●",[12]回答表!Y195,IF([12]回答表!AA45="●",[12]回答表!Y261,"")),"")</f>
        <v/>
      </c>
      <c r="V147" s="83"/>
      <c r="W147" s="83"/>
      <c r="X147" s="83"/>
      <c r="Y147" s="83"/>
      <c r="Z147" s="83"/>
      <c r="AA147" s="83"/>
      <c r="AB147" s="153"/>
      <c r="AC147" s="82" t="str">
        <f>IF([12]回答表!F17="下水道事業",IF([12]回答表!X45="●",[12]回答表!Y196,IF([12]回答表!AA45="●",[12]回答表!Y262,"")),"")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IF([12]回答表!F17="下水道事業",IF([12]回答表!X45="●",[12]回答表!Y198,IF([12]回答表!AA45="●",[12]回答表!Y264,"")),"")</f>
        <v/>
      </c>
      <c r="V153" s="83"/>
      <c r="W153" s="83"/>
      <c r="X153" s="83"/>
      <c r="Y153" s="83"/>
      <c r="Z153" s="83"/>
      <c r="AA153" s="83"/>
      <c r="AB153" s="153"/>
      <c r="AC153" s="82" t="str">
        <f>IF([12]回答表!F17="下水道事業",IF([12]回答表!X45="●",[12]回答表!Y199,IF([12]回答表!AA45="●",[12]回答表!Y265,"")),"")</f>
        <v/>
      </c>
      <c r="AD153" s="83"/>
      <c r="AE153" s="83"/>
      <c r="AF153" s="83"/>
      <c r="AG153" s="83"/>
      <c r="AH153" s="83"/>
      <c r="AI153" s="83"/>
      <c r="AJ153" s="153"/>
      <c r="AK153" s="82" t="str">
        <f>IF([12]回答表!F17="下水道事業",IF([12]回答表!X45="●",[12]回答表!Y200,IF([12]回答表!AA45="●",[12]回答表!Y266,"")),"")</f>
        <v/>
      </c>
      <c r="AL153" s="83"/>
      <c r="AM153" s="83"/>
      <c r="AN153" s="83"/>
      <c r="AO153" s="83"/>
      <c r="AP153" s="83"/>
      <c r="AQ153" s="83"/>
      <c r="AR153" s="153"/>
      <c r="AS153" s="82" t="str">
        <f>IF([12]回答表!F17="下水道事業",IF([12]回答表!X45="●",[12]回答表!Y201,IF([12]回答表!AA45="●",[12]回答表!Y267,"")),"")</f>
        <v/>
      </c>
      <c r="AT153" s="83"/>
      <c r="AU153" s="83"/>
      <c r="AV153" s="83"/>
      <c r="AW153" s="83"/>
      <c r="AX153" s="83"/>
      <c r="AY153" s="83"/>
      <c r="AZ153" s="153"/>
      <c r="BA153" s="82" t="str">
        <f>IF([12]回答表!F17="下水道事業",IF([12]回答表!X45="●",[12]回答表!Y202,IF([12]回答表!AA45="●",[12]回答表!Y268,"")),"")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IF([12]回答表!F17="下水道事業",IF([12]回答表!AA45="●","●",""),"")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IF([12]回答表!F17="下水道事業",IF([12]回答表!X45="●",[12]回答表!Y207,IF([12]回答表!AA45="●",[12]回答表!Y273,"")),"")</f>
        <v/>
      </c>
      <c r="V159" s="83"/>
      <c r="W159" s="83"/>
      <c r="X159" s="83"/>
      <c r="Y159" s="83"/>
      <c r="Z159" s="83"/>
      <c r="AA159" s="83"/>
      <c r="AB159" s="153"/>
      <c r="AC159" s="82" t="str">
        <f>IF([12]回答表!F17="下水道事業",IF([12]回答表!X45="●",[12]回答表!Y208,IF([12]回答表!AA45="●",[12]回答表!Y274,"")),"")</f>
        <v/>
      </c>
      <c r="AD159" s="83"/>
      <c r="AE159" s="83"/>
      <c r="AF159" s="83"/>
      <c r="AG159" s="83"/>
      <c r="AH159" s="83"/>
      <c r="AI159" s="83"/>
      <c r="AJ159" s="153"/>
      <c r="AK159" s="82" t="str">
        <f>IF([12]回答表!F17="下水道事業",IF([12]回答表!X45="●",[12]回答表!Y209,IF([12]回答表!AA45="●",[12]回答表!Y275,"")),"")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IF([12]回答表!F17="下水道事業",IF([12]回答表!AD45="●","●",""),"")</f>
        <v/>
      </c>
      <c r="O164" s="131"/>
      <c r="P164" s="131"/>
      <c r="Q164" s="132"/>
      <c r="R164" s="119"/>
      <c r="S164" s="119"/>
      <c r="T164" s="119"/>
      <c r="U164" s="133" t="str">
        <f>IF([12]回答表!F17="下水道事業",IF([12]回答表!AD45="●",[12]回答表!B289,""),"")</f>
        <v/>
      </c>
      <c r="V164" s="134"/>
      <c r="W164" s="134"/>
      <c r="X164" s="134"/>
      <c r="Y164" s="134"/>
      <c r="Z164" s="134"/>
      <c r="AA164" s="134"/>
      <c r="AB164" s="134"/>
      <c r="AC164" s="134"/>
      <c r="AD164" s="134"/>
      <c r="AE164" s="134"/>
      <c r="AF164" s="134"/>
      <c r="AG164" s="134"/>
      <c r="AH164" s="134"/>
      <c r="AI164" s="134"/>
      <c r="AJ164" s="135"/>
      <c r="AK164" s="183"/>
      <c r="AL164" s="183"/>
      <c r="AM164" s="133" t="str">
        <f>IF([12]回答表!F17="下水道事業",IF([12]回答表!AD45="●",[12]回答表!B295,""),"")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IF([12]回答表!BD17="●",IF([12]回答表!X45="●","●",""),"")</f>
        <v/>
      </c>
      <c r="O176" s="131"/>
      <c r="P176" s="131"/>
      <c r="Q176" s="132"/>
      <c r="R176" s="119"/>
      <c r="S176" s="119"/>
      <c r="T176" s="119"/>
      <c r="U176" s="133" t="str">
        <f>IF([12]回答表!BD17="●",IF([12]回答表!X45="●",[12]回答表!B158,IF([12]回答表!AA45="●",[12]回答表!B223,"")),"")</f>
        <v/>
      </c>
      <c r="V176" s="134"/>
      <c r="W176" s="134"/>
      <c r="X176" s="134"/>
      <c r="Y176" s="134"/>
      <c r="Z176" s="134"/>
      <c r="AA176" s="134"/>
      <c r="AB176" s="134"/>
      <c r="AC176" s="134"/>
      <c r="AD176" s="134"/>
      <c r="AE176" s="134"/>
      <c r="AF176" s="134"/>
      <c r="AG176" s="134"/>
      <c r="AH176" s="134"/>
      <c r="AI176" s="134"/>
      <c r="AJ176" s="135"/>
      <c r="AK176" s="136"/>
      <c r="AL176" s="136"/>
      <c r="AM176" s="138" t="str">
        <f>IF([12]回答表!BD17="●",IF([12]回答表!X45="●",[12]回答表!B212,IF([12]回答表!AA45="●",[12]回答表!B278,"")),"")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IF([12]回答表!BD17="●",IF([12]回答表!X45="●",[12]回答表!E212,IF([12]回答表!AA45="●",[12]回答表!E278,"")),"")</f>
        <v/>
      </c>
      <c r="AN179" s="151"/>
      <c r="AO179" s="151"/>
      <c r="AP179" s="151"/>
      <c r="AQ179" s="150" t="str">
        <f>IF([12]回答表!BD17="●",IF([12]回答表!X45="●",[12]回答表!E213,IF([12]回答表!AA45="●",[12]回答表!E279,"")),"")</f>
        <v/>
      </c>
      <c r="AR179" s="151"/>
      <c r="AS179" s="151"/>
      <c r="AT179" s="151"/>
      <c r="AU179" s="150" t="str">
        <f>IF([12]回答表!BD17="●",IF([12]回答表!X45="●",[12]回答表!E214,IF([12]回答表!AA45="●",[12]回答表!E280,"")),"")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IF([12]回答表!BD17="●",IF([12]回答表!AA45="●","●",""),"")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IF([12]回答表!BD17="●",IF([12]回答表!AD45="●","●",""),"")</f>
        <v/>
      </c>
      <c r="O188" s="131"/>
      <c r="P188" s="131"/>
      <c r="Q188" s="132"/>
      <c r="R188" s="119"/>
      <c r="S188" s="119"/>
      <c r="T188" s="119"/>
      <c r="U188" s="133" t="str">
        <f>IF([12]回答表!BD17="●",IF([12]回答表!AD45="●",[12]回答表!B289,""),"")</f>
        <v/>
      </c>
      <c r="V188" s="134"/>
      <c r="W188" s="134"/>
      <c r="X188" s="134"/>
      <c r="Y188" s="134"/>
      <c r="Z188" s="134"/>
      <c r="AA188" s="134"/>
      <c r="AB188" s="134"/>
      <c r="AC188" s="134"/>
      <c r="AD188" s="134"/>
      <c r="AE188" s="134"/>
      <c r="AF188" s="134"/>
      <c r="AG188" s="134"/>
      <c r="AH188" s="134"/>
      <c r="AI188" s="134"/>
      <c r="AJ188" s="135"/>
      <c r="AK188" s="183"/>
      <c r="AL188" s="183"/>
      <c r="AM188" s="133" t="str">
        <f>IF([12]回答表!BD17="●",IF([12]回答表!AD45="●",[12]回答表!B295,""),"")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IF([12]回答表!X46="●","●","")</f>
        <v/>
      </c>
      <c r="O200" s="131"/>
      <c r="P200" s="131"/>
      <c r="Q200" s="132"/>
      <c r="R200" s="119"/>
      <c r="S200" s="119"/>
      <c r="T200" s="119"/>
      <c r="U200" s="133" t="str">
        <f>IF([12]回答表!X46="●",[12]回答表!B307,IF([12]回答表!AA46="●",[12]回答表!B324,""))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IF([12]回答表!X46="●",[12]回答表!U313,IF([12]回答表!AA46="●",[12]回答表!U330,""))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IF([12]回答表!X46="●",[12]回答表!G313,IF([12]回答表!AA46="●",[12]回答表!G330,""))</f>
        <v/>
      </c>
      <c r="AN203" s="83"/>
      <c r="AO203" s="83"/>
      <c r="AP203" s="83"/>
      <c r="AQ203" s="83"/>
      <c r="AR203" s="83"/>
      <c r="AS203" s="83"/>
      <c r="AT203" s="153"/>
      <c r="AU203" s="82" t="str">
        <f>IF([12]回答表!X46="●",[12]回答表!G314,IF([12]回答表!AA46="●",[12]回答表!G331,""))</f>
        <v/>
      </c>
      <c r="AV203" s="83"/>
      <c r="AW203" s="83"/>
      <c r="AX203" s="83"/>
      <c r="AY203" s="83"/>
      <c r="AZ203" s="83"/>
      <c r="BA203" s="83"/>
      <c r="BB203" s="153"/>
      <c r="BC203" s="120"/>
      <c r="BD203" s="109"/>
      <c r="BE203" s="109"/>
      <c r="BF203" s="150" t="str">
        <f>IF([12]回答表!X46="●",[12]回答表!X313,IF([12]回答表!AA46="●",[12]回答表!X330,""))</f>
        <v/>
      </c>
      <c r="BG203" s="151"/>
      <c r="BH203" s="151"/>
      <c r="BI203" s="151"/>
      <c r="BJ203" s="150" t="str">
        <f>IF([12]回答表!X46="●",[12]回答表!X314,IF([12]回答表!AA46="●",[12]回答表!X331,""))</f>
        <v/>
      </c>
      <c r="BK203" s="151"/>
      <c r="BL203" s="151"/>
      <c r="BM203" s="152"/>
      <c r="BN203" s="150" t="str">
        <f>IF([12]回答表!X46="●",[12]回答表!X315,IF([12]回答表!AA46="●",[12]回答表!X332,""))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IF([12]回答表!AD46="●","●","")</f>
        <v/>
      </c>
      <c r="O212" s="131"/>
      <c r="P212" s="131"/>
      <c r="Q212" s="132"/>
      <c r="R212" s="119"/>
      <c r="S212" s="119"/>
      <c r="T212" s="119"/>
      <c r="U212" s="133" t="str">
        <f>IF([12]回答表!AD46="●",[12]回答表!B337,"")</f>
        <v/>
      </c>
      <c r="V212" s="134"/>
      <c r="W212" s="134"/>
      <c r="X212" s="134"/>
      <c r="Y212" s="134"/>
      <c r="Z212" s="134"/>
      <c r="AA212" s="134"/>
      <c r="AB212" s="134"/>
      <c r="AC212" s="134"/>
      <c r="AD212" s="134"/>
      <c r="AE212" s="134"/>
      <c r="AF212" s="134"/>
      <c r="AG212" s="134"/>
      <c r="AH212" s="134"/>
      <c r="AI212" s="134"/>
      <c r="AJ212" s="135"/>
      <c r="AK212" s="259"/>
      <c r="AL212" s="259"/>
      <c r="AM212" s="133" t="str">
        <f>IF([12]回答表!AD46="●",[12]回答表!B343,"")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IF([12]回答表!X47="●","●","")</f>
        <v/>
      </c>
      <c r="O224" s="131"/>
      <c r="P224" s="131"/>
      <c r="Q224" s="132"/>
      <c r="R224" s="119"/>
      <c r="S224" s="119"/>
      <c r="T224" s="119"/>
      <c r="U224" s="133" t="str">
        <f>IF([12]回答表!X47="●",[12]回答表!B356,IF([12]回答表!AA47="●",[12]回答表!B379,""))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IF([12]回答表!X47="●",[12]回答表!B362,"")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IF([12]回答表!X47="●",[12]回答表!B368,IF([12]回答表!AA47="●",[12]回答表!B385,""))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IF([12]回答表!X47="●",[12]回答表!E368,IF([12]回答表!AA47="●",[12]回答表!E385,""))</f>
        <v/>
      </c>
      <c r="BG227" s="151"/>
      <c r="BH227" s="151"/>
      <c r="BI227" s="151"/>
      <c r="BJ227" s="150" t="str">
        <f>IF([12]回答表!X47="●",[12]回答表!E369,IF([12]回答表!AA47="●",[12]回答表!E386,""))</f>
        <v/>
      </c>
      <c r="BK227" s="151"/>
      <c r="BL227" s="151"/>
      <c r="BM227" s="152"/>
      <c r="BN227" s="150" t="str">
        <f>IF([12]回答表!X47="●",[12]回答表!E370,IF([12]回答表!AA47="●",[12]回答表!E387,""))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IF([12]回答表!AD47="●","●","")</f>
        <v/>
      </c>
      <c r="O236" s="131"/>
      <c r="P236" s="131"/>
      <c r="Q236" s="132"/>
      <c r="R236" s="119"/>
      <c r="S236" s="119"/>
      <c r="T236" s="119"/>
      <c r="U236" s="133" t="str">
        <f>IF([12]回答表!AD47="●",[12]回答表!B392,"")</f>
        <v/>
      </c>
      <c r="V236" s="134"/>
      <c r="W236" s="134"/>
      <c r="X236" s="134"/>
      <c r="Y236" s="134"/>
      <c r="Z236" s="134"/>
      <c r="AA236" s="134"/>
      <c r="AB236" s="134"/>
      <c r="AC236" s="134"/>
      <c r="AD236" s="134"/>
      <c r="AE236" s="134"/>
      <c r="AF236" s="134"/>
      <c r="AG236" s="134"/>
      <c r="AH236" s="134"/>
      <c r="AI236" s="134"/>
      <c r="AJ236" s="135"/>
      <c r="AK236" s="259"/>
      <c r="AL236" s="259"/>
      <c r="AM236" s="133" t="str">
        <f>IF([12]回答表!AD47="●",[12]回答表!B398,"")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IF([12]回答表!X48="●","●","")</f>
        <v/>
      </c>
      <c r="O248" s="131"/>
      <c r="P248" s="131"/>
      <c r="Q248" s="132"/>
      <c r="R248" s="119"/>
      <c r="S248" s="119"/>
      <c r="T248" s="119"/>
      <c r="U248" s="133" t="str">
        <f>IF([12]回答表!X48="●",[12]回答表!B411,IF([12]回答表!AA48="●",[12]回答表!B425,""))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IF([12]回答表!X48="●",[12]回答表!BC418,IF([12]回答表!AA48="●",[12]回答表!BC432,""))</f>
        <v/>
      </c>
      <c r="AR248" s="272"/>
      <c r="AS248" s="272"/>
      <c r="AT248" s="272"/>
      <c r="AU248" s="273" t="s">
        <v>73</v>
      </c>
      <c r="AV248" s="274"/>
      <c r="AW248" s="274"/>
      <c r="AX248" s="275"/>
      <c r="AY248" s="272" t="str">
        <f>IF([12]回答表!X48="●",[12]回答表!BC423,IF([12]回答表!AA48="●",[12]回答表!BC437,""))</f>
        <v/>
      </c>
      <c r="AZ248" s="272"/>
      <c r="BA248" s="272"/>
      <c r="BB248" s="272"/>
      <c r="BC248" s="120"/>
      <c r="BD248" s="109"/>
      <c r="BE248" s="109"/>
      <c r="BF248" s="138" t="str">
        <f>IF([12]回答表!X48="●",[12]回答表!S417,IF([12]回答表!AA48="●",[12]回答表!S431,""))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IF([12]回答表!X48="●",[12]回答表!BC419,IF([12]回答表!AA48="●",[12]回答表!BC433,""))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IF([12]回答表!X48="●",[12]回答表!V417,IF([12]回答表!AA48="●",[12]回答表!V431,""))</f>
        <v/>
      </c>
      <c r="BG251" s="151"/>
      <c r="BH251" s="151"/>
      <c r="BI251" s="151"/>
      <c r="BJ251" s="150" t="str">
        <f>IF([12]回答表!X48="●",[12]回答表!V418,IF([12]回答表!AA48="●",[12]回答表!V432,""))</f>
        <v/>
      </c>
      <c r="BK251" s="151"/>
      <c r="BL251" s="151"/>
      <c r="BM251" s="152"/>
      <c r="BN251" s="150" t="str">
        <f>IF([12]回答表!X48="●",[12]回答表!V419,IF([12]回答表!AA48="●",[12]回答表!V433,""))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IF([12]回答表!X48="●",[12]回答表!BC420,IF([12]回答表!AA48="●",[12]回答表!BC434,""))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IF([12]回答表!X48="●",[12]回答表!BC424,IF([12]回答表!AA48="●",[12]回答表!BC438,""))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IF([12]回答表!X48="●",[12]回答表!BC421,IF([12]回答表!AA48="●",[12]回答表!BC435,""))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IF([12]回答表!X48="●",[12]回答表!BC422,IF([12]回答表!AA48="●",[12]回答表!BC436,""))</f>
        <v/>
      </c>
      <c r="AR256" s="272"/>
      <c r="AS256" s="272"/>
      <c r="AT256" s="272"/>
      <c r="AU256" s="224" t="s">
        <v>79</v>
      </c>
      <c r="AV256" s="225"/>
      <c r="AW256" s="225"/>
      <c r="AX256" s="226"/>
      <c r="AY256" s="282" t="str">
        <f>IF([12]回答表!X48="●",[12]回答表!BC425,IF([12]回答表!AA48="●",[12]回答表!BC439,""))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IF([12]回答表!AD48="●","●","")</f>
        <v/>
      </c>
      <c r="O260" s="131"/>
      <c r="P260" s="131"/>
      <c r="Q260" s="132"/>
      <c r="R260" s="119"/>
      <c r="S260" s="119"/>
      <c r="T260" s="119"/>
      <c r="U260" s="133" t="str">
        <f>IF([12]回答表!AD48="●",[12]回答表!B439,"")</f>
        <v/>
      </c>
      <c r="V260" s="134"/>
      <c r="W260" s="134"/>
      <c r="X260" s="134"/>
      <c r="Y260" s="134"/>
      <c r="Z260" s="134"/>
      <c r="AA260" s="134"/>
      <c r="AB260" s="134"/>
      <c r="AC260" s="134"/>
      <c r="AD260" s="134"/>
      <c r="AE260" s="134"/>
      <c r="AF260" s="134"/>
      <c r="AG260" s="134"/>
      <c r="AH260" s="134"/>
      <c r="AI260" s="134"/>
      <c r="AJ260" s="135"/>
      <c r="AK260" s="183"/>
      <c r="AL260" s="183"/>
      <c r="AM260" s="133" t="str">
        <f>IF([12]回答表!AD48="●",[12]回答表!B445,"")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IF([12]回答表!X49="●","●","")</f>
        <v/>
      </c>
      <c r="O271" s="131"/>
      <c r="P271" s="131"/>
      <c r="Q271" s="132"/>
      <c r="R271" s="119"/>
      <c r="S271" s="119"/>
      <c r="T271" s="119"/>
      <c r="U271" s="133" t="str">
        <f>IF([12]回答表!X49="●",[12]回答表!B458,IF([12]回答表!AA49="●",[12]回答表!B475,""))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IF([12]回答表!X49="●",[12]回答表!B468,IF([12]回答表!AA49="●",[12]回答表!B485,""))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IF([12]回答表!X49="●",[12]回答表!G464,IF([12]回答表!AA49="●",[12]回答表!G481,""))</f>
        <v/>
      </c>
      <c r="AN273" s="83"/>
      <c r="AO273" s="83"/>
      <c r="AP273" s="83"/>
      <c r="AQ273" s="83"/>
      <c r="AR273" s="83"/>
      <c r="AS273" s="83"/>
      <c r="AT273" s="153"/>
      <c r="AU273" s="82" t="str">
        <f>IF([12]回答表!X49="●",[12]回答表!G465,IF([12]回答表!AA49="●",[12]回答表!G482,""))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IF([12]回答表!X49="●",[12]回答表!E468,IF([12]回答表!AA49="●",[12]回答表!E485,""))</f>
        <v/>
      </c>
      <c r="BG274" s="151"/>
      <c r="BH274" s="151"/>
      <c r="BI274" s="151"/>
      <c r="BJ274" s="150" t="str">
        <f>IF([12]回答表!X49="●",[12]回答表!E469,IF([12]回答表!AA49="●",[12]回答表!E486,""))</f>
        <v/>
      </c>
      <c r="BK274" s="151"/>
      <c r="BL274" s="151"/>
      <c r="BM274" s="152"/>
      <c r="BN274" s="150" t="str">
        <f>IF([12]回答表!X49="●",[12]回答表!E470,IF([12]回答表!AA49="●",[12]回答表!E487,""))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IF([12]回答表!AD49="●","●","")</f>
        <v/>
      </c>
      <c r="O283" s="131"/>
      <c r="P283" s="131"/>
      <c r="Q283" s="132"/>
      <c r="R283" s="119"/>
      <c r="S283" s="119"/>
      <c r="T283" s="119"/>
      <c r="U283" s="133" t="str">
        <f>IF([12]回答表!AD49="●",[12]回答表!B492,"")</f>
        <v/>
      </c>
      <c r="V283" s="134"/>
      <c r="W283" s="134"/>
      <c r="X283" s="134"/>
      <c r="Y283" s="134"/>
      <c r="Z283" s="134"/>
      <c r="AA283" s="134"/>
      <c r="AB283" s="134"/>
      <c r="AC283" s="134"/>
      <c r="AD283" s="134"/>
      <c r="AE283" s="134"/>
      <c r="AF283" s="134"/>
      <c r="AG283" s="134"/>
      <c r="AH283" s="134"/>
      <c r="AI283" s="134"/>
      <c r="AJ283" s="135"/>
      <c r="AK283" s="136"/>
      <c r="AL283" s="136"/>
      <c r="AM283" s="133" t="str">
        <f>IF([12]回答表!AD49="●",[12]回答表!B498,"")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IF([12]回答表!R50="●",[12]回答表!B511,"")</f>
        <v>市ではスキー場運営について、令和２年度からの指定管理者制度への移行を目指し、令和元年度中に公募を行ったが応募がなかった。このため、説明会に参加された事業者に対し、応募できなかった理由等について聞き取りを行ったところ、「季節営業故に従業員や有資格者など人材確保が困難であることや、天候に著しく左右される事業であることなどを考慮し、事業展開は難しいと判断した。」との内容であった。その後、公募要件の見直しによる再公募を検討したものの、経費が膨れあがり、市としては財政的なメリットが皆無になることが判明したため、再公募を断念し今後も直営で継続することと判断したものである。（現在のスキー場運営は、安全統括管理者を市職員が兼務し、その他従業員を会計年度任用職員とするなど、最少の経費で運営しているため。）
なお、スキー場を取り巻く環境は、県内人口の減少や少子高齢化による来場者数の減少のほか、設備の更新・改修費用の捻出など、非常に厳しいものがあるが、本市唯一の本格スキー場としてその役割は大きいため、当面は住民ニーズの把握や事業効果の検証を通し、適切な設備投資と効率的な運営を念頭に直営で経営していくものであ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27E80-EBA5-495F-ACAE-6F215772110A}">
  <sheetPr>
    <pageSetUpPr fitToPage="1"/>
  </sheetPr>
  <dimension ref="A1:CN315"/>
  <sheetViews>
    <sheetView showZeros="0" view="pageBreakPreview" zoomScale="60" zoomScaleNormal="55" workbookViewId="0">
      <selection activeCell="U200" sqref="U200:AJ209"/>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IF(COUNTIF([13]回答表!K15,"*")&gt;0,[13]回答表!K15,"")</f>
        <v>由利本荘市</v>
      </c>
      <c r="D11" s="8"/>
      <c r="E11" s="8"/>
      <c r="F11" s="8"/>
      <c r="G11" s="8"/>
      <c r="H11" s="8"/>
      <c r="I11" s="8"/>
      <c r="J11" s="8"/>
      <c r="K11" s="8"/>
      <c r="L11" s="8"/>
      <c r="M11" s="8"/>
      <c r="N11" s="8"/>
      <c r="O11" s="8"/>
      <c r="P11" s="8"/>
      <c r="Q11" s="8"/>
      <c r="R11" s="8"/>
      <c r="S11" s="8"/>
      <c r="T11" s="8"/>
      <c r="U11" s="22" t="str">
        <f>IF(COUNTIF([13]回答表!F17,"*")&gt;0,[13]回答表!F17,"")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IF(COUNTIF([13]回答表!W17,"*")&gt;0,[13]回答表!W17,"")</f>
        <v>指定介護老人福祉施設</v>
      </c>
      <c r="AP11" s="10"/>
      <c r="AQ11" s="10"/>
      <c r="AR11" s="10"/>
      <c r="AS11" s="10"/>
      <c r="AT11" s="10"/>
      <c r="AU11" s="10"/>
      <c r="AV11" s="10"/>
      <c r="AW11" s="10"/>
      <c r="AX11" s="10"/>
      <c r="AY11" s="10"/>
      <c r="AZ11" s="10"/>
      <c r="BA11" s="10"/>
      <c r="BB11" s="10"/>
      <c r="BC11" s="10"/>
      <c r="BD11" s="10"/>
      <c r="BE11" s="10"/>
      <c r="BF11" s="11"/>
      <c r="BG11" s="21" t="str">
        <f>IF(COUNTIF([13]回答表!F19,"*")&gt;0,[13]回答表!F19,"")</f>
        <v>介護サービス事業特別会計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IF([13]回答表!R43="●","●","")</f>
        <v/>
      </c>
      <c r="E24" s="80"/>
      <c r="F24" s="80"/>
      <c r="G24" s="80"/>
      <c r="H24" s="80"/>
      <c r="I24" s="80"/>
      <c r="J24" s="81"/>
      <c r="K24" s="79" t="str">
        <f>IF([13]回答表!R44="●","●","")</f>
        <v/>
      </c>
      <c r="L24" s="80"/>
      <c r="M24" s="80"/>
      <c r="N24" s="80"/>
      <c r="O24" s="80"/>
      <c r="P24" s="80"/>
      <c r="Q24" s="81"/>
      <c r="R24" s="79" t="str">
        <f>IF([13]回答表!R45="●","●","")</f>
        <v/>
      </c>
      <c r="S24" s="80"/>
      <c r="T24" s="80"/>
      <c r="U24" s="80"/>
      <c r="V24" s="80"/>
      <c r="W24" s="80"/>
      <c r="X24" s="81"/>
      <c r="Y24" s="79" t="str">
        <f>IF([13]回答表!R46="●","●","")</f>
        <v>●</v>
      </c>
      <c r="Z24" s="80"/>
      <c r="AA24" s="80"/>
      <c r="AB24" s="80"/>
      <c r="AC24" s="80"/>
      <c r="AD24" s="80"/>
      <c r="AE24" s="81"/>
      <c r="AF24" s="79" t="str">
        <f>IF([13]回答表!R47="●","●","")</f>
        <v/>
      </c>
      <c r="AG24" s="80"/>
      <c r="AH24" s="80"/>
      <c r="AI24" s="80"/>
      <c r="AJ24" s="80"/>
      <c r="AK24" s="80"/>
      <c r="AL24" s="81"/>
      <c r="AM24" s="79" t="str">
        <f>IF([13]回答表!R48="●","●","")</f>
        <v/>
      </c>
      <c r="AN24" s="80"/>
      <c r="AO24" s="80"/>
      <c r="AP24" s="80"/>
      <c r="AQ24" s="80"/>
      <c r="AR24" s="80"/>
      <c r="AS24" s="81"/>
      <c r="AT24" s="79" t="str">
        <f>IF([13]回答表!R49="●","●","")</f>
        <v/>
      </c>
      <c r="AU24" s="80"/>
      <c r="AV24" s="80"/>
      <c r="AW24" s="80"/>
      <c r="AX24" s="80"/>
      <c r="AY24" s="80"/>
      <c r="AZ24" s="81"/>
      <c r="BA24" s="68"/>
      <c r="BB24" s="82" t="str">
        <f>IF([13]回答表!R50="●","●","")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IF([13]回答表!X43="●","●","")</f>
        <v/>
      </c>
      <c r="O36" s="131"/>
      <c r="P36" s="131"/>
      <c r="Q36" s="132"/>
      <c r="R36" s="119"/>
      <c r="S36" s="119"/>
      <c r="T36" s="119"/>
      <c r="U36" s="133" t="str">
        <f>IF([13]回答表!X43="●",[13]回答表!B59,IF([13]回答表!AA43="●",[13]回答表!B79,""))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IF([13]回答表!X43="●",[13]回答表!S65,IF([13]回答表!AA43="●",[13]回答表!S85,""))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IF([13]回答表!X43="●",[13]回答表!G65,IF([13]回答表!AA43="●",[13]回答表!G85,""))</f>
        <v/>
      </c>
      <c r="AN38" s="83"/>
      <c r="AO38" s="83"/>
      <c r="AP38" s="83"/>
      <c r="AQ38" s="83"/>
      <c r="AR38" s="83"/>
      <c r="AS38" s="83"/>
      <c r="AT38" s="153"/>
      <c r="AU38" s="82" t="str">
        <f>IF([13]回答表!X43="●",[13]回答表!G66,IF([13]回答表!AA43="●",[13]回答表!G86,""))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IF([13]回答表!X43="●",[13]回答表!V65,IF([13]回答表!AA43="●",[13]回答表!V85,""))</f>
        <v/>
      </c>
      <c r="BG39" s="16"/>
      <c r="BH39" s="16"/>
      <c r="BI39" s="17"/>
      <c r="BJ39" s="150" t="str">
        <f>IF([13]回答表!X43="●",[13]回答表!V66,IF([13]回答表!AA43="●",[13]回答表!V86,""))</f>
        <v/>
      </c>
      <c r="BK39" s="16"/>
      <c r="BL39" s="16"/>
      <c r="BM39" s="17"/>
      <c r="BN39" s="150" t="str">
        <f>IF([13]回答表!X43="●",[13]回答表!V67,IF([13]回答表!AA43="●",[13]回答表!V87,""))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IF([13]回答表!X43="●",[13]回答表!O71,IF([13]回答表!AA43="●",[13]回答表!O91,""))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IF([13]回答表!X43="●",[13]回答表!O72,IF([13]回答表!AA43="●",[13]回答表!O92,""))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IF([13]回答表!X43="●",[13]回答表!O73,IF([13]回答表!AA43="●",[13]回答表!O93,""))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IF([13]回答表!X43="●",[13]回答表!O74,IF([13]回答表!AA43="●",[13]回答表!O94,""))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IF([13]回答表!X43="●",[13]回答表!AG71,IF([13]回答表!AA43="●",[13]回答表!AG91,""))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IF([13]回答表!X43="●",[13]回答表!AG72,IF([13]回答表!AA43="●",[13]回答表!AG92,""))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IF([13]回答表!AD43="●","●","")</f>
        <v/>
      </c>
      <c r="O51" s="131"/>
      <c r="P51" s="131"/>
      <c r="Q51" s="132"/>
      <c r="R51" s="119"/>
      <c r="S51" s="119"/>
      <c r="T51" s="119"/>
      <c r="U51" s="133" t="str">
        <f>IF([13]回答表!AD43="●",[13]回答表!B99,"")</f>
        <v/>
      </c>
      <c r="V51" s="134"/>
      <c r="W51" s="134"/>
      <c r="X51" s="134"/>
      <c r="Y51" s="134"/>
      <c r="Z51" s="134"/>
      <c r="AA51" s="134"/>
      <c r="AB51" s="134"/>
      <c r="AC51" s="134"/>
      <c r="AD51" s="134"/>
      <c r="AE51" s="134"/>
      <c r="AF51" s="134"/>
      <c r="AG51" s="134"/>
      <c r="AH51" s="134"/>
      <c r="AI51" s="134"/>
      <c r="AJ51" s="135"/>
      <c r="AK51" s="183"/>
      <c r="AL51" s="183"/>
      <c r="AM51" s="133" t="str">
        <f>IF([13]回答表!AD43="●",[13]回答表!B104,"")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IF([13]回答表!X44="●","●","")</f>
        <v/>
      </c>
      <c r="O62" s="131"/>
      <c r="P62" s="131"/>
      <c r="Q62" s="132"/>
      <c r="R62" s="119"/>
      <c r="S62" s="119"/>
      <c r="T62" s="119"/>
      <c r="U62" s="133" t="str">
        <f>IF([13]回答表!X44="●",[13]回答表!B115,IF([13]回答表!AA44="●",[13]回答表!B127,""))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IF([13]回答表!X44="●",[13]回答表!S121,IF([13]回答表!AA44="●",[13]回答表!S133,""))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IF([13]回答表!X44="●",[13]回答表!J121,IF([13]回答表!AA44="●",[13]回答表!J133,""))</f>
        <v/>
      </c>
      <c r="AN65" s="83"/>
      <c r="AO65" s="83"/>
      <c r="AP65" s="83"/>
      <c r="AQ65" s="83"/>
      <c r="AR65" s="83"/>
      <c r="AS65" s="83"/>
      <c r="AT65" s="153"/>
      <c r="AU65" s="82" t="str">
        <f>IF([13]回答表!X44="●",[13]回答表!J122,IF([13]回答表!AA44="●",[13]回答表!J134,""))</f>
        <v/>
      </c>
      <c r="AV65" s="83"/>
      <c r="AW65" s="83"/>
      <c r="AX65" s="83"/>
      <c r="AY65" s="83"/>
      <c r="AZ65" s="83"/>
      <c r="BA65" s="83"/>
      <c r="BB65" s="153"/>
      <c r="BC65" s="120"/>
      <c r="BD65" s="109"/>
      <c r="BE65" s="109"/>
      <c r="BF65" s="150" t="str">
        <f>IF([13]回答表!X44="●",[13]回答表!V121,IF([13]回答表!AA44="●",[13]回答表!V133,""))</f>
        <v/>
      </c>
      <c r="BG65" s="151"/>
      <c r="BH65" s="151"/>
      <c r="BI65" s="151"/>
      <c r="BJ65" s="150" t="str">
        <f>IF([13]回答表!X44="●",[13]回答表!V122,IF([13]回答表!AA44="●",[13]回答表!V134,""))</f>
        <v/>
      </c>
      <c r="BK65" s="151"/>
      <c r="BL65" s="151"/>
      <c r="BM65" s="151"/>
      <c r="BN65" s="150" t="str">
        <f>IF([13]回答表!X44="●",[13]回答表!V123,IF([13]回答表!AA44="●",[13]回答表!V135,""))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IF([13]回答表!AD44="●","●","")</f>
        <v/>
      </c>
      <c r="O74" s="131"/>
      <c r="P74" s="131"/>
      <c r="Q74" s="132"/>
      <c r="R74" s="119"/>
      <c r="S74" s="119"/>
      <c r="T74" s="119"/>
      <c r="U74" s="133" t="str">
        <f>IF([13]回答表!AD44="●",[13]回答表!B140,"")</f>
        <v/>
      </c>
      <c r="V74" s="134"/>
      <c r="W74" s="134"/>
      <c r="X74" s="134"/>
      <c r="Y74" s="134"/>
      <c r="Z74" s="134"/>
      <c r="AA74" s="134"/>
      <c r="AB74" s="134"/>
      <c r="AC74" s="134"/>
      <c r="AD74" s="134"/>
      <c r="AE74" s="134"/>
      <c r="AF74" s="134"/>
      <c r="AG74" s="134"/>
      <c r="AH74" s="134"/>
      <c r="AI74" s="134"/>
      <c r="AJ74" s="135"/>
      <c r="AK74" s="183"/>
      <c r="AL74" s="183"/>
      <c r="AM74" s="133" t="str">
        <f>IF([13]回答表!AD44="●",[13]回答表!B146,"")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IF([13]回答表!F17="水道事業",IF([13]回答表!X45="●","●",""),"")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IF([13]回答表!F17="水道事業",IF([13]回答表!X45="●",[13]回答表!B158,IF([13]回答表!AA45="●",[13]回答表!B223,"")),"")</f>
        <v/>
      </c>
      <c r="AN86" s="201"/>
      <c r="AO86" s="201"/>
      <c r="AP86" s="201"/>
      <c r="AQ86" s="201"/>
      <c r="AR86" s="201"/>
      <c r="AS86" s="201"/>
      <c r="AT86" s="201"/>
      <c r="AU86" s="201"/>
      <c r="AV86" s="201"/>
      <c r="AW86" s="201"/>
      <c r="AX86" s="201"/>
      <c r="AY86" s="201"/>
      <c r="AZ86" s="201"/>
      <c r="BA86" s="201"/>
      <c r="BB86" s="201"/>
      <c r="BC86" s="202"/>
      <c r="BD86" s="109"/>
      <c r="BE86" s="109"/>
      <c r="BF86" s="138" t="str">
        <f>IF([13]回答表!F17="水道事業",IF([13]回答表!X45="●",[13]回答表!B212,IF([13]回答表!AA45="●",[13]回答表!B278,"")),"")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IF([13]回答表!F17="水道事業",IF([13]回答表!X45="●",[13]回答表!J166,IF([13]回答表!AA45="●",[13]回答表!J231,"")),"")</f>
        <v/>
      </c>
      <c r="V88" s="83"/>
      <c r="W88" s="83"/>
      <c r="X88" s="83"/>
      <c r="Y88" s="83"/>
      <c r="Z88" s="83"/>
      <c r="AA88" s="83"/>
      <c r="AB88" s="153"/>
      <c r="AC88" s="82" t="str">
        <f>IF([13]回答表!F17="水道事業",IF([13]回答表!X45="●",[13]回答表!J173,IF([13]回答表!AA45="●",[13]回答表!J238,"")),"")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IF([13]回答表!F17="水道事業",IF([13]回答表!X45="●",[13]回答表!E212,IF([13]回答表!AA45="●",[13]回答表!E278,"")),"")</f>
        <v/>
      </c>
      <c r="BG89" s="151"/>
      <c r="BH89" s="151"/>
      <c r="BI89" s="151"/>
      <c r="BJ89" s="150" t="str">
        <f>IF([13]回答表!F17="水道事業",IF([13]回答表!X45="●",[13]回答表!E213,IF([13]回答表!AA45="●",[13]回答表!E279,"")),"")</f>
        <v/>
      </c>
      <c r="BK89" s="151"/>
      <c r="BL89" s="151"/>
      <c r="BM89" s="151"/>
      <c r="BN89" s="150" t="str">
        <f>IF([13]回答表!F17="水道事業",IF([13]回答表!X45="●",[13]回答表!E214,IF([13]回答表!AA45="●",[13]回答表!E280,"")),"")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IF([13]回答表!F17="水道事業",IF([13]回答表!AA45="●","●",""),"")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IF([13]回答表!F17="水道事業",IF([13]回答表!X45="●",[13]回答表!J176,IF([13]回答表!AA45="●",[13]回答表!J241,"")),"")</f>
        <v/>
      </c>
      <c r="V93" s="83"/>
      <c r="W93" s="83"/>
      <c r="X93" s="83"/>
      <c r="Y93" s="83"/>
      <c r="Z93" s="83"/>
      <c r="AA93" s="83"/>
      <c r="AB93" s="153"/>
      <c r="AC93" s="82" t="str">
        <f>IF([13]回答表!F17="水道事業",IF([13]回答表!X45="●",[13]回答表!J180,IF([13]回答表!AA45="●",[13]回答表!J245,"")),"")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IF([13]回答表!F17="水道事業",IF([13]回答表!AD45="●","●",""),"")</f>
        <v/>
      </c>
      <c r="O98" s="131"/>
      <c r="P98" s="131"/>
      <c r="Q98" s="132"/>
      <c r="R98" s="119"/>
      <c r="S98" s="119"/>
      <c r="T98" s="119"/>
      <c r="U98" s="133" t="str">
        <f>IF([13]回答表!F17="水道事業",IF([13]回答表!AD45="●",[13]回答表!B289,""),"")</f>
        <v/>
      </c>
      <c r="V98" s="134"/>
      <c r="W98" s="134"/>
      <c r="X98" s="134"/>
      <c r="Y98" s="134"/>
      <c r="Z98" s="134"/>
      <c r="AA98" s="134"/>
      <c r="AB98" s="134"/>
      <c r="AC98" s="134"/>
      <c r="AD98" s="134"/>
      <c r="AE98" s="134"/>
      <c r="AF98" s="134"/>
      <c r="AG98" s="134"/>
      <c r="AH98" s="134"/>
      <c r="AI98" s="134"/>
      <c r="AJ98" s="135"/>
      <c r="AK98" s="183"/>
      <c r="AL98" s="183"/>
      <c r="AM98" s="133" t="str">
        <f>IF([13]回答表!F17="水道事業",IF([13]回答表!AD45="●",[13]回答表!B295,""),"")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IF([13]回答表!F17="簡易水道事業",IF([13]回答表!X45="●",[13]回答表!B158,IF([13]回答表!AA45="●",[13]回答表!B223,"")),"")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IF([13]回答表!F17="簡易水道事業",IF([13]回答表!X45="●",[13]回答表!B212,IF([13]回答表!AA45="●",[13]回答表!B278,"")),"")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IF([13]回答表!F17="簡易水道事業",IF([13]回答表!X45="●","●",""),"")</f>
        <v/>
      </c>
      <c r="O112" s="131"/>
      <c r="P112" s="131"/>
      <c r="Q112" s="132"/>
      <c r="R112" s="119"/>
      <c r="S112" s="119"/>
      <c r="T112" s="119"/>
      <c r="U112" s="82" t="str">
        <f>IF([13]回答表!F17="簡易水道事業",IF([13]回答表!X45="●",[13]回答表!Y185,IF([13]回答表!AA45="●",[13]回答表!Y251,"")),"")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IF([13]回答表!F17="簡易水道事業",IF([13]回答表!X45="●",[13]回答表!E212,IF([13]回答表!AA45="●",[13]回答表!E278,"")),"")</f>
        <v/>
      </c>
      <c r="BG113" s="151"/>
      <c r="BH113" s="151"/>
      <c r="BI113" s="151"/>
      <c r="BJ113" s="150" t="str">
        <f>IF([13]回答表!F17="簡易水道事業",IF([13]回答表!X45="●",[13]回答表!E213,IF([13]回答表!AA45="●",[13]回答表!E279,"")),"")</f>
        <v/>
      </c>
      <c r="BK113" s="151"/>
      <c r="BL113" s="151"/>
      <c r="BM113" s="151"/>
      <c r="BN113" s="150" t="str">
        <f>IF([13]回答表!F17="簡易水道事業",IF([13]回答表!X45="●",[13]回答表!E214,IF([13]回答表!AA45="●",[13]回答表!E280,"")),"")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IF([13]回答表!F17="簡易水道事業",IF([13]回答表!X45="●",[13]回答表!Y186,IF([13]回答表!AA45="●",[13]回答表!Y252,"")),"")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IF([13]回答表!F17="簡易水道事業",IF([13]回答表!AA45="●","●",""),"")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IF([13]回答表!F17="簡易水道事業",IF([13]回答表!X45="●",[13]回答表!Y187,IF([13]回答表!AA45="●",[13]回答表!Y253,"")),"")</f>
        <v/>
      </c>
      <c r="V122" s="83"/>
      <c r="W122" s="83"/>
      <c r="X122" s="83"/>
      <c r="Y122" s="83"/>
      <c r="Z122" s="83"/>
      <c r="AA122" s="83"/>
      <c r="AB122" s="83"/>
      <c r="AC122" s="83"/>
      <c r="AD122" s="83"/>
      <c r="AE122" s="83"/>
      <c r="AF122" s="83"/>
      <c r="AG122" s="83"/>
      <c r="AH122" s="83"/>
      <c r="AI122" s="83"/>
      <c r="AJ122" s="153"/>
      <c r="AK122" s="68"/>
      <c r="AL122" s="68"/>
      <c r="AM122" s="233" t="str">
        <f>IF([13]回答表!F17="簡易水道事業",IF([13]回答表!X45="●",[13]回答表!Y189,IF([13]回答表!AA45="●",[13]回答表!Y255,"")),"")</f>
        <v/>
      </c>
      <c r="AN122" s="233"/>
      <c r="AO122" s="233"/>
      <c r="AP122" s="233"/>
      <c r="AQ122" s="233"/>
      <c r="AR122" s="233"/>
      <c r="AS122" s="233" t="str">
        <f>IF([13]回答表!F17="簡易水道事業",IF([13]回答表!X45="●",[13]回答表!Y190,IF([13]回答表!AA45="●",[13]回答表!Y256,"")),"")</f>
        <v/>
      </c>
      <c r="AT122" s="233"/>
      <c r="AU122" s="233"/>
      <c r="AV122" s="233"/>
      <c r="AW122" s="233"/>
      <c r="AX122" s="233"/>
      <c r="AY122" s="233" t="str">
        <f>IF([13]回答表!F17="簡易水道事業",IF([13]回答表!X45="●",[13]回答表!Y191,IF([13]回答表!AA45="●",[13]回答表!Y257,"")),"")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IF([13]回答表!F17="簡易水道事業",IF([13]回答表!AD45="●","●",""),"")</f>
        <v/>
      </c>
      <c r="O127" s="131"/>
      <c r="P127" s="131"/>
      <c r="Q127" s="132"/>
      <c r="R127" s="119"/>
      <c r="S127" s="119"/>
      <c r="T127" s="119"/>
      <c r="U127" s="133" t="str">
        <f>IF([13]回答表!F17="簡易水道事業",IF([13]回答表!AD45="●",[13]回答表!B289,""),"")</f>
        <v/>
      </c>
      <c r="V127" s="134"/>
      <c r="W127" s="134"/>
      <c r="X127" s="134"/>
      <c r="Y127" s="134"/>
      <c r="Z127" s="134"/>
      <c r="AA127" s="134"/>
      <c r="AB127" s="134"/>
      <c r="AC127" s="134"/>
      <c r="AD127" s="134"/>
      <c r="AE127" s="134"/>
      <c r="AF127" s="134"/>
      <c r="AG127" s="134"/>
      <c r="AH127" s="134"/>
      <c r="AI127" s="134"/>
      <c r="AJ127" s="135"/>
      <c r="AK127" s="183"/>
      <c r="AL127" s="183"/>
      <c r="AM127" s="133" t="str">
        <f>IF([13]回答表!F17="簡易水道事業",IF([13]回答表!AD45="●",[13]回答表!B295,""),"")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IF([13]回答表!F17="下水道事業",IF([13]回答表!X45="●","●",""),"")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IF([13]回答表!F17="下水道事業",IF([13]回答表!X45="●",[13]回答表!B158,IF([13]回答表!AA45="●",[13]回答表!B223,"")),"")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IF([13]回答表!F17="下水道事業",IF([13]回答表!X45="●",[13]回答表!B212,IF([13]回答表!AA45="●",[13]回答表!B278,"")),"")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IF([13]回答表!F17="下水道事業",IF([13]回答表!X45="●",[13]回答表!Y193,IF([13]回答表!AA45="●",[13]回答表!Y259,"")),"")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IF([13]回答表!F17="下水道事業",IF([13]回答表!X45="●",[13]回答表!E212,IF([13]回答表!AA45="●",[13]回答表!E278,"")),"")</f>
        <v/>
      </c>
      <c r="BG142" s="151"/>
      <c r="BH142" s="151"/>
      <c r="BI142" s="151"/>
      <c r="BJ142" s="150" t="str">
        <f>IF([13]回答表!F17="下水道事業",IF([13]回答表!X45="●",[13]回答表!E213,IF([13]回答表!AA45="●",[13]回答表!E279,"")),"")</f>
        <v/>
      </c>
      <c r="BK142" s="151"/>
      <c r="BL142" s="151"/>
      <c r="BM142" s="151"/>
      <c r="BN142" s="150" t="str">
        <f>IF([13]回答表!F17="下水道事業",IF([13]回答表!X45="●",[13]回答表!E214,IF([13]回答表!AA45="●",[13]回答表!E280,"")),"")</f>
        <v/>
      </c>
      <c r="BO142" s="151"/>
      <c r="BP142" s="151"/>
      <c r="BQ142" s="152"/>
      <c r="BR142" s="112"/>
      <c r="BX142" s="200" t="str">
        <f>IF([13]回答表!AQ20="下水道事業",IF([13]回答表!BI48="○",[13]回答表!AM161,IF([13]回答表!BL48="○",[13]回答表!AM226,"")),"")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IF([13]回答表!F17="下水道事業",IF([13]回答表!X45="●",[13]回答表!Y195,IF([13]回答表!AA45="●",[13]回答表!Y261,"")),"")</f>
        <v/>
      </c>
      <c r="V147" s="83"/>
      <c r="W147" s="83"/>
      <c r="X147" s="83"/>
      <c r="Y147" s="83"/>
      <c r="Z147" s="83"/>
      <c r="AA147" s="83"/>
      <c r="AB147" s="153"/>
      <c r="AC147" s="82" t="str">
        <f>IF([13]回答表!F17="下水道事業",IF([13]回答表!X45="●",[13]回答表!Y196,IF([13]回答表!AA45="●",[13]回答表!Y262,"")),"")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IF([13]回答表!F17="下水道事業",IF([13]回答表!X45="●",[13]回答表!Y198,IF([13]回答表!AA45="●",[13]回答表!Y264,"")),"")</f>
        <v/>
      </c>
      <c r="V153" s="83"/>
      <c r="W153" s="83"/>
      <c r="X153" s="83"/>
      <c r="Y153" s="83"/>
      <c r="Z153" s="83"/>
      <c r="AA153" s="83"/>
      <c r="AB153" s="153"/>
      <c r="AC153" s="82" t="str">
        <f>IF([13]回答表!F17="下水道事業",IF([13]回答表!X45="●",[13]回答表!Y199,IF([13]回答表!AA45="●",[13]回答表!Y265,"")),"")</f>
        <v/>
      </c>
      <c r="AD153" s="83"/>
      <c r="AE153" s="83"/>
      <c r="AF153" s="83"/>
      <c r="AG153" s="83"/>
      <c r="AH153" s="83"/>
      <c r="AI153" s="83"/>
      <c r="AJ153" s="153"/>
      <c r="AK153" s="82" t="str">
        <f>IF([13]回答表!F17="下水道事業",IF([13]回答表!X45="●",[13]回答表!Y200,IF([13]回答表!AA45="●",[13]回答表!Y266,"")),"")</f>
        <v/>
      </c>
      <c r="AL153" s="83"/>
      <c r="AM153" s="83"/>
      <c r="AN153" s="83"/>
      <c r="AO153" s="83"/>
      <c r="AP153" s="83"/>
      <c r="AQ153" s="83"/>
      <c r="AR153" s="153"/>
      <c r="AS153" s="82" t="str">
        <f>IF([13]回答表!F17="下水道事業",IF([13]回答表!X45="●",[13]回答表!Y201,IF([13]回答表!AA45="●",[13]回答表!Y267,"")),"")</f>
        <v/>
      </c>
      <c r="AT153" s="83"/>
      <c r="AU153" s="83"/>
      <c r="AV153" s="83"/>
      <c r="AW153" s="83"/>
      <c r="AX153" s="83"/>
      <c r="AY153" s="83"/>
      <c r="AZ153" s="153"/>
      <c r="BA153" s="82" t="str">
        <f>IF([13]回答表!F17="下水道事業",IF([13]回答表!X45="●",[13]回答表!Y202,IF([13]回答表!AA45="●",[13]回答表!Y268,"")),"")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IF([13]回答表!F17="下水道事業",IF([13]回答表!AA45="●","●",""),"")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IF([13]回答表!F17="下水道事業",IF([13]回答表!X45="●",[13]回答表!Y207,IF([13]回答表!AA45="●",[13]回答表!Y273,"")),"")</f>
        <v/>
      </c>
      <c r="V159" s="83"/>
      <c r="W159" s="83"/>
      <c r="X159" s="83"/>
      <c r="Y159" s="83"/>
      <c r="Z159" s="83"/>
      <c r="AA159" s="83"/>
      <c r="AB159" s="153"/>
      <c r="AC159" s="82" t="str">
        <f>IF([13]回答表!F17="下水道事業",IF([13]回答表!X45="●",[13]回答表!Y208,IF([13]回答表!AA45="●",[13]回答表!Y274,"")),"")</f>
        <v/>
      </c>
      <c r="AD159" s="83"/>
      <c r="AE159" s="83"/>
      <c r="AF159" s="83"/>
      <c r="AG159" s="83"/>
      <c r="AH159" s="83"/>
      <c r="AI159" s="83"/>
      <c r="AJ159" s="153"/>
      <c r="AK159" s="82" t="str">
        <f>IF([13]回答表!F17="下水道事業",IF([13]回答表!X45="●",[13]回答表!Y209,IF([13]回答表!AA45="●",[13]回答表!Y275,"")),"")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IF([13]回答表!F17="下水道事業",IF([13]回答表!AD45="●","●",""),"")</f>
        <v/>
      </c>
      <c r="O164" s="131"/>
      <c r="P164" s="131"/>
      <c r="Q164" s="132"/>
      <c r="R164" s="119"/>
      <c r="S164" s="119"/>
      <c r="T164" s="119"/>
      <c r="U164" s="133" t="str">
        <f>IF([13]回答表!F17="下水道事業",IF([13]回答表!AD45="●",[13]回答表!B289,""),"")</f>
        <v/>
      </c>
      <c r="V164" s="134"/>
      <c r="W164" s="134"/>
      <c r="X164" s="134"/>
      <c r="Y164" s="134"/>
      <c r="Z164" s="134"/>
      <c r="AA164" s="134"/>
      <c r="AB164" s="134"/>
      <c r="AC164" s="134"/>
      <c r="AD164" s="134"/>
      <c r="AE164" s="134"/>
      <c r="AF164" s="134"/>
      <c r="AG164" s="134"/>
      <c r="AH164" s="134"/>
      <c r="AI164" s="134"/>
      <c r="AJ164" s="135"/>
      <c r="AK164" s="183"/>
      <c r="AL164" s="183"/>
      <c r="AM164" s="133" t="str">
        <f>IF([13]回答表!F17="下水道事業",IF([13]回答表!AD45="●",[13]回答表!B295,""),"")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IF([13]回答表!BD17="●",IF([13]回答表!X45="●","●",""),"")</f>
        <v/>
      </c>
      <c r="O176" s="131"/>
      <c r="P176" s="131"/>
      <c r="Q176" s="132"/>
      <c r="R176" s="119"/>
      <c r="S176" s="119"/>
      <c r="T176" s="119"/>
      <c r="U176" s="133" t="str">
        <f>IF([13]回答表!BD17="●",IF([13]回答表!X45="●",[13]回答表!B158,IF([13]回答表!AA45="●",[13]回答表!B223,"")),"")</f>
        <v/>
      </c>
      <c r="V176" s="134"/>
      <c r="W176" s="134"/>
      <c r="X176" s="134"/>
      <c r="Y176" s="134"/>
      <c r="Z176" s="134"/>
      <c r="AA176" s="134"/>
      <c r="AB176" s="134"/>
      <c r="AC176" s="134"/>
      <c r="AD176" s="134"/>
      <c r="AE176" s="134"/>
      <c r="AF176" s="134"/>
      <c r="AG176" s="134"/>
      <c r="AH176" s="134"/>
      <c r="AI176" s="134"/>
      <c r="AJ176" s="135"/>
      <c r="AK176" s="136"/>
      <c r="AL176" s="136"/>
      <c r="AM176" s="138" t="str">
        <f>IF([13]回答表!BD17="●",IF([13]回答表!X45="●",[13]回答表!B212,IF([13]回答表!AA45="●",[13]回答表!B278,"")),"")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IF([13]回答表!BD17="●",IF([13]回答表!X45="●",[13]回答表!E212,IF([13]回答表!AA45="●",[13]回答表!E278,"")),"")</f>
        <v/>
      </c>
      <c r="AN179" s="151"/>
      <c r="AO179" s="151"/>
      <c r="AP179" s="151"/>
      <c r="AQ179" s="150" t="str">
        <f>IF([13]回答表!BD17="●",IF([13]回答表!X45="●",[13]回答表!E213,IF([13]回答表!AA45="●",[13]回答表!E279,"")),"")</f>
        <v/>
      </c>
      <c r="AR179" s="151"/>
      <c r="AS179" s="151"/>
      <c r="AT179" s="151"/>
      <c r="AU179" s="150" t="str">
        <f>IF([13]回答表!BD17="●",IF([13]回答表!X45="●",[13]回答表!E214,IF([13]回答表!AA45="●",[13]回答表!E280,"")),"")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IF([13]回答表!BD17="●",IF([13]回答表!AA45="●","●",""),"")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IF([13]回答表!BD17="●",IF([13]回答表!AD45="●","●",""),"")</f>
        <v/>
      </c>
      <c r="O188" s="131"/>
      <c r="P188" s="131"/>
      <c r="Q188" s="132"/>
      <c r="R188" s="119"/>
      <c r="S188" s="119"/>
      <c r="T188" s="119"/>
      <c r="U188" s="133" t="str">
        <f>IF([13]回答表!BD17="●",IF([13]回答表!AD45="●",[13]回答表!B289,""),"")</f>
        <v/>
      </c>
      <c r="V188" s="134"/>
      <c r="W188" s="134"/>
      <c r="X188" s="134"/>
      <c r="Y188" s="134"/>
      <c r="Z188" s="134"/>
      <c r="AA188" s="134"/>
      <c r="AB188" s="134"/>
      <c r="AC188" s="134"/>
      <c r="AD188" s="134"/>
      <c r="AE188" s="134"/>
      <c r="AF188" s="134"/>
      <c r="AG188" s="134"/>
      <c r="AH188" s="134"/>
      <c r="AI188" s="134"/>
      <c r="AJ188" s="135"/>
      <c r="AK188" s="183"/>
      <c r="AL188" s="183"/>
      <c r="AM188" s="133" t="str">
        <f>IF([13]回答表!BD17="●",IF([13]回答表!AD45="●",[13]回答表!B295,""),"")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22.5" customHeight="1" x14ac:dyDescent="0.4">
      <c r="C200" s="101"/>
      <c r="D200" s="194" t="s">
        <v>18</v>
      </c>
      <c r="E200" s="194"/>
      <c r="F200" s="194"/>
      <c r="G200" s="194"/>
      <c r="H200" s="194"/>
      <c r="I200" s="194"/>
      <c r="J200" s="194"/>
      <c r="K200" s="194"/>
      <c r="L200" s="194"/>
      <c r="M200" s="194"/>
      <c r="N200" s="130" t="str">
        <f>IF([13]回答表!X46="●","●","")</f>
        <v>●</v>
      </c>
      <c r="O200" s="131"/>
      <c r="P200" s="131"/>
      <c r="Q200" s="132"/>
      <c r="R200" s="119"/>
      <c r="S200" s="119"/>
      <c r="T200" s="119"/>
      <c r="U200" s="322" t="str">
        <f>IF([13]回答表!X46="●",[13]回答表!B307,IF([13]回答表!AA46="●",[13]回答表!B324,""))</f>
        <v>特別養護老人ホーム「鳥寿苑」は、Ｈ28.4.1に指定管理を開始している。（Ｈ37年度末まで10年間）
特別養護老人ホーム「東光苑」は、Ｈ29.4.1から指定管理を開始している。（Ｈ37年度末まで9年間）
指定管理者は、両施設とも社会福祉法人由愛会であり、運営自体は良好である。</v>
      </c>
      <c r="V200" s="323"/>
      <c r="W200" s="323"/>
      <c r="X200" s="323"/>
      <c r="Y200" s="323"/>
      <c r="Z200" s="323"/>
      <c r="AA200" s="323"/>
      <c r="AB200" s="323"/>
      <c r="AC200" s="323"/>
      <c r="AD200" s="323"/>
      <c r="AE200" s="323"/>
      <c r="AF200" s="323"/>
      <c r="AG200" s="323"/>
      <c r="AH200" s="323"/>
      <c r="AI200" s="323"/>
      <c r="AJ200" s="324"/>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IF([13]回答表!X46="●",[13]回答表!U313,IF([13]回答表!AA46="●",[13]回答表!U330,""))</f>
        <v>平成</v>
      </c>
      <c r="BG200" s="139"/>
      <c r="BH200" s="139"/>
      <c r="BI200" s="139"/>
      <c r="BJ200" s="138"/>
      <c r="BK200" s="139"/>
      <c r="BL200" s="139"/>
      <c r="BM200" s="139"/>
      <c r="BN200" s="138"/>
      <c r="BO200" s="139"/>
      <c r="BP200" s="139"/>
      <c r="BQ200" s="140"/>
      <c r="BR200" s="112"/>
      <c r="BS200" s="92"/>
    </row>
    <row r="201" spans="1:71" ht="22.5" customHeight="1" x14ac:dyDescent="0.4">
      <c r="C201" s="101"/>
      <c r="D201" s="194"/>
      <c r="E201" s="194"/>
      <c r="F201" s="194"/>
      <c r="G201" s="194"/>
      <c r="H201" s="194"/>
      <c r="I201" s="194"/>
      <c r="J201" s="194"/>
      <c r="K201" s="194"/>
      <c r="L201" s="194"/>
      <c r="M201" s="194"/>
      <c r="N201" s="144"/>
      <c r="O201" s="145"/>
      <c r="P201" s="145"/>
      <c r="Q201" s="146"/>
      <c r="R201" s="119"/>
      <c r="S201" s="119"/>
      <c r="T201" s="119"/>
      <c r="U201" s="325"/>
      <c r="V201" s="326"/>
      <c r="W201" s="326"/>
      <c r="X201" s="326"/>
      <c r="Y201" s="326"/>
      <c r="Z201" s="326"/>
      <c r="AA201" s="326"/>
      <c r="AB201" s="326"/>
      <c r="AC201" s="326"/>
      <c r="AD201" s="326"/>
      <c r="AE201" s="326"/>
      <c r="AF201" s="326"/>
      <c r="AG201" s="326"/>
      <c r="AH201" s="326"/>
      <c r="AI201" s="326"/>
      <c r="AJ201" s="327"/>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22.5" customHeight="1" x14ac:dyDescent="0.4">
      <c r="C202" s="101"/>
      <c r="D202" s="194"/>
      <c r="E202" s="194"/>
      <c r="F202" s="194"/>
      <c r="G202" s="194"/>
      <c r="H202" s="194"/>
      <c r="I202" s="194"/>
      <c r="J202" s="194"/>
      <c r="K202" s="194"/>
      <c r="L202" s="194"/>
      <c r="M202" s="194"/>
      <c r="N202" s="144"/>
      <c r="O202" s="145"/>
      <c r="P202" s="145"/>
      <c r="Q202" s="146"/>
      <c r="R202" s="119"/>
      <c r="S202" s="119"/>
      <c r="T202" s="119"/>
      <c r="U202" s="325"/>
      <c r="V202" s="326"/>
      <c r="W202" s="326"/>
      <c r="X202" s="326"/>
      <c r="Y202" s="326"/>
      <c r="Z202" s="326"/>
      <c r="AA202" s="326"/>
      <c r="AB202" s="326"/>
      <c r="AC202" s="326"/>
      <c r="AD202" s="326"/>
      <c r="AE202" s="326"/>
      <c r="AF202" s="326"/>
      <c r="AG202" s="326"/>
      <c r="AH202" s="326"/>
      <c r="AI202" s="326"/>
      <c r="AJ202" s="327"/>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22.5" customHeight="1" x14ac:dyDescent="0.4">
      <c r="C203" s="101"/>
      <c r="D203" s="194"/>
      <c r="E203" s="194"/>
      <c r="F203" s="194"/>
      <c r="G203" s="194"/>
      <c r="H203" s="194"/>
      <c r="I203" s="194"/>
      <c r="J203" s="194"/>
      <c r="K203" s="194"/>
      <c r="L203" s="194"/>
      <c r="M203" s="194"/>
      <c r="N203" s="154"/>
      <c r="O203" s="155"/>
      <c r="P203" s="155"/>
      <c r="Q203" s="156"/>
      <c r="R203" s="119"/>
      <c r="S203" s="119"/>
      <c r="T203" s="119"/>
      <c r="U203" s="325"/>
      <c r="V203" s="326"/>
      <c r="W203" s="326"/>
      <c r="X203" s="326"/>
      <c r="Y203" s="326"/>
      <c r="Z203" s="326"/>
      <c r="AA203" s="326"/>
      <c r="AB203" s="326"/>
      <c r="AC203" s="326"/>
      <c r="AD203" s="326"/>
      <c r="AE203" s="326"/>
      <c r="AF203" s="326"/>
      <c r="AG203" s="326"/>
      <c r="AH203" s="326"/>
      <c r="AI203" s="326"/>
      <c r="AJ203" s="327"/>
      <c r="AK203" s="136"/>
      <c r="AL203" s="136"/>
      <c r="AM203" s="82" t="str">
        <f>IF([13]回答表!X46="●",[13]回答表!G313,IF([13]回答表!AA46="●",[13]回答表!G330,""))</f>
        <v xml:space="preserve"> </v>
      </c>
      <c r="AN203" s="83"/>
      <c r="AO203" s="83"/>
      <c r="AP203" s="83"/>
      <c r="AQ203" s="83"/>
      <c r="AR203" s="83"/>
      <c r="AS203" s="83"/>
      <c r="AT203" s="153"/>
      <c r="AU203" s="82" t="str">
        <f>IF([13]回答表!X46="●",[13]回答表!G314,IF([13]回答表!AA46="●",[13]回答表!G331,""))</f>
        <v>●</v>
      </c>
      <c r="AV203" s="83"/>
      <c r="AW203" s="83"/>
      <c r="AX203" s="83"/>
      <c r="AY203" s="83"/>
      <c r="AZ203" s="83"/>
      <c r="BA203" s="83"/>
      <c r="BB203" s="153"/>
      <c r="BC203" s="120"/>
      <c r="BD203" s="109"/>
      <c r="BE203" s="109"/>
      <c r="BF203" s="150">
        <f>IF([13]回答表!X46="●",[13]回答表!X313,IF([13]回答表!AA46="●",[13]回答表!X330,""))</f>
        <v>28</v>
      </c>
      <c r="BG203" s="151"/>
      <c r="BH203" s="151"/>
      <c r="BI203" s="151"/>
      <c r="BJ203" s="150">
        <f>IF([13]回答表!X46="●",[13]回答表!X314,IF([13]回答表!AA46="●",[13]回答表!X331,""))</f>
        <v>4</v>
      </c>
      <c r="BK203" s="151"/>
      <c r="BL203" s="151"/>
      <c r="BM203" s="152"/>
      <c r="BN203" s="150">
        <f>IF([13]回答表!X46="●",[13]回答表!X315,IF([13]回答表!AA46="●",[13]回答表!X332,""))</f>
        <v>1</v>
      </c>
      <c r="BO203" s="151"/>
      <c r="BP203" s="151"/>
      <c r="BQ203" s="152"/>
      <c r="BR203" s="112"/>
      <c r="BS203" s="92"/>
    </row>
    <row r="204" spans="1:71" ht="22.5" customHeight="1" x14ac:dyDescent="0.4">
      <c r="C204" s="101"/>
      <c r="D204" s="157"/>
      <c r="E204" s="157"/>
      <c r="F204" s="157"/>
      <c r="G204" s="157"/>
      <c r="H204" s="157"/>
      <c r="I204" s="157"/>
      <c r="J204" s="157"/>
      <c r="K204" s="157"/>
      <c r="L204" s="157"/>
      <c r="M204" s="157"/>
      <c r="N204" s="159"/>
      <c r="O204" s="159"/>
      <c r="P204" s="159"/>
      <c r="Q204" s="159"/>
      <c r="R204" s="159"/>
      <c r="S204" s="159"/>
      <c r="T204" s="159"/>
      <c r="U204" s="325"/>
      <c r="V204" s="326"/>
      <c r="W204" s="326"/>
      <c r="X204" s="326"/>
      <c r="Y204" s="326"/>
      <c r="Z204" s="326"/>
      <c r="AA204" s="326"/>
      <c r="AB204" s="326"/>
      <c r="AC204" s="326"/>
      <c r="AD204" s="326"/>
      <c r="AE204" s="326"/>
      <c r="AF204" s="326"/>
      <c r="AG204" s="326"/>
      <c r="AH204" s="326"/>
      <c r="AI204" s="326"/>
      <c r="AJ204" s="327"/>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22.5" customHeight="1" x14ac:dyDescent="0.4">
      <c r="C205" s="101"/>
      <c r="D205" s="157"/>
      <c r="E205" s="157"/>
      <c r="F205" s="157"/>
      <c r="G205" s="157"/>
      <c r="H205" s="157"/>
      <c r="I205" s="157"/>
      <c r="J205" s="157"/>
      <c r="K205" s="157"/>
      <c r="L205" s="157"/>
      <c r="M205" s="157"/>
      <c r="N205" s="159"/>
      <c r="O205" s="159"/>
      <c r="P205" s="159"/>
      <c r="Q205" s="159"/>
      <c r="R205" s="159"/>
      <c r="S205" s="159"/>
      <c r="T205" s="159"/>
      <c r="U205" s="325"/>
      <c r="V205" s="326"/>
      <c r="W205" s="326"/>
      <c r="X205" s="326"/>
      <c r="Y205" s="326"/>
      <c r="Z205" s="326"/>
      <c r="AA205" s="326"/>
      <c r="AB205" s="326"/>
      <c r="AC205" s="326"/>
      <c r="AD205" s="326"/>
      <c r="AE205" s="326"/>
      <c r="AF205" s="326"/>
      <c r="AG205" s="326"/>
      <c r="AH205" s="326"/>
      <c r="AI205" s="326"/>
      <c r="AJ205" s="327"/>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22.5" customHeight="1" x14ac:dyDescent="0.4">
      <c r="C206" s="101"/>
      <c r="D206" s="212" t="s">
        <v>26</v>
      </c>
      <c r="E206" s="194"/>
      <c r="F206" s="194"/>
      <c r="G206" s="194"/>
      <c r="H206" s="194"/>
      <c r="I206" s="194"/>
      <c r="J206" s="194"/>
      <c r="K206" s="194"/>
      <c r="L206" s="194"/>
      <c r="M206" s="213"/>
      <c r="N206" s="130" t="str">
        <f>IF([13]回答表!AA46="●","●","")</f>
        <v/>
      </c>
      <c r="O206" s="131"/>
      <c r="P206" s="131"/>
      <c r="Q206" s="132"/>
      <c r="R206" s="119"/>
      <c r="S206" s="119"/>
      <c r="T206" s="119"/>
      <c r="U206" s="325"/>
      <c r="V206" s="326"/>
      <c r="W206" s="326"/>
      <c r="X206" s="326"/>
      <c r="Y206" s="326"/>
      <c r="Z206" s="326"/>
      <c r="AA206" s="326"/>
      <c r="AB206" s="326"/>
      <c r="AC206" s="326"/>
      <c r="AD206" s="326"/>
      <c r="AE206" s="326"/>
      <c r="AF206" s="326"/>
      <c r="AG206" s="326"/>
      <c r="AH206" s="326"/>
      <c r="AI206" s="326"/>
      <c r="AJ206" s="327"/>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22.5" customHeight="1" x14ac:dyDescent="0.4">
      <c r="C207" s="101"/>
      <c r="D207" s="194"/>
      <c r="E207" s="194"/>
      <c r="F207" s="194"/>
      <c r="G207" s="194"/>
      <c r="H207" s="194"/>
      <c r="I207" s="194"/>
      <c r="J207" s="194"/>
      <c r="K207" s="194"/>
      <c r="L207" s="194"/>
      <c r="M207" s="213"/>
      <c r="N207" s="144"/>
      <c r="O207" s="145"/>
      <c r="P207" s="145"/>
      <c r="Q207" s="146"/>
      <c r="R207" s="119"/>
      <c r="S207" s="119"/>
      <c r="T207" s="119"/>
      <c r="U207" s="325"/>
      <c r="V207" s="326"/>
      <c r="W207" s="326"/>
      <c r="X207" s="326"/>
      <c r="Y207" s="326"/>
      <c r="Z207" s="326"/>
      <c r="AA207" s="326"/>
      <c r="AB207" s="326"/>
      <c r="AC207" s="326"/>
      <c r="AD207" s="326"/>
      <c r="AE207" s="326"/>
      <c r="AF207" s="326"/>
      <c r="AG207" s="326"/>
      <c r="AH207" s="326"/>
      <c r="AI207" s="326"/>
      <c r="AJ207" s="327"/>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22.5" customHeight="1" x14ac:dyDescent="0.4">
      <c r="C208" s="101"/>
      <c r="D208" s="194"/>
      <c r="E208" s="194"/>
      <c r="F208" s="194"/>
      <c r="G208" s="194"/>
      <c r="H208" s="194"/>
      <c r="I208" s="194"/>
      <c r="J208" s="194"/>
      <c r="K208" s="194"/>
      <c r="L208" s="194"/>
      <c r="M208" s="213"/>
      <c r="N208" s="144"/>
      <c r="O208" s="145"/>
      <c r="P208" s="145"/>
      <c r="Q208" s="146"/>
      <c r="R208" s="119"/>
      <c r="S208" s="119"/>
      <c r="T208" s="119"/>
      <c r="U208" s="325"/>
      <c r="V208" s="326"/>
      <c r="W208" s="326"/>
      <c r="X208" s="326"/>
      <c r="Y208" s="326"/>
      <c r="Z208" s="326"/>
      <c r="AA208" s="326"/>
      <c r="AB208" s="326"/>
      <c r="AC208" s="326"/>
      <c r="AD208" s="326"/>
      <c r="AE208" s="326"/>
      <c r="AF208" s="326"/>
      <c r="AG208" s="326"/>
      <c r="AH208" s="326"/>
      <c r="AI208" s="326"/>
      <c r="AJ208" s="327"/>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22.5" customHeight="1" x14ac:dyDescent="0.4">
      <c r="C209" s="101"/>
      <c r="D209" s="194"/>
      <c r="E209" s="194"/>
      <c r="F209" s="194"/>
      <c r="G209" s="194"/>
      <c r="H209" s="194"/>
      <c r="I209" s="194"/>
      <c r="J209" s="194"/>
      <c r="K209" s="194"/>
      <c r="L209" s="194"/>
      <c r="M209" s="213"/>
      <c r="N209" s="154"/>
      <c r="O209" s="155"/>
      <c r="P209" s="155"/>
      <c r="Q209" s="156"/>
      <c r="R209" s="119"/>
      <c r="S209" s="119"/>
      <c r="T209" s="119"/>
      <c r="U209" s="328"/>
      <c r="V209" s="329"/>
      <c r="W209" s="329"/>
      <c r="X209" s="329"/>
      <c r="Y209" s="329"/>
      <c r="Z209" s="329"/>
      <c r="AA209" s="329"/>
      <c r="AB209" s="329"/>
      <c r="AC209" s="329"/>
      <c r="AD209" s="329"/>
      <c r="AE209" s="329"/>
      <c r="AF209" s="329"/>
      <c r="AG209" s="329"/>
      <c r="AH209" s="329"/>
      <c r="AI209" s="329"/>
      <c r="AJ209" s="330"/>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IF([13]回答表!AD46="●","●","")</f>
        <v/>
      </c>
      <c r="O212" s="131"/>
      <c r="P212" s="131"/>
      <c r="Q212" s="132"/>
      <c r="R212" s="119"/>
      <c r="S212" s="119"/>
      <c r="T212" s="119"/>
      <c r="U212" s="133" t="str">
        <f>IF([13]回答表!AD46="●",[13]回答表!B337,"")</f>
        <v/>
      </c>
      <c r="V212" s="134"/>
      <c r="W212" s="134"/>
      <c r="X212" s="134"/>
      <c r="Y212" s="134"/>
      <c r="Z212" s="134"/>
      <c r="AA212" s="134"/>
      <c r="AB212" s="134"/>
      <c r="AC212" s="134"/>
      <c r="AD212" s="134"/>
      <c r="AE212" s="134"/>
      <c r="AF212" s="134"/>
      <c r="AG212" s="134"/>
      <c r="AH212" s="134"/>
      <c r="AI212" s="134"/>
      <c r="AJ212" s="135"/>
      <c r="AK212" s="259"/>
      <c r="AL212" s="259"/>
      <c r="AM212" s="133" t="str">
        <f>IF([13]回答表!AD46="●",[13]回答表!B343,"")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IF([13]回答表!X47="●","●","")</f>
        <v/>
      </c>
      <c r="O224" s="131"/>
      <c r="P224" s="131"/>
      <c r="Q224" s="132"/>
      <c r="R224" s="119"/>
      <c r="S224" s="119"/>
      <c r="T224" s="119"/>
      <c r="U224" s="133" t="str">
        <f>IF([13]回答表!X47="●",[13]回答表!B356,IF([13]回答表!AA47="●",[13]回答表!B379,""))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IF([13]回答表!X47="●",[13]回答表!B362,"")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IF([13]回答表!X47="●",[13]回答表!B368,IF([13]回答表!AA47="●",[13]回答表!B385,""))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IF([13]回答表!X47="●",[13]回答表!E368,IF([13]回答表!AA47="●",[13]回答表!E385,""))</f>
        <v/>
      </c>
      <c r="BG227" s="151"/>
      <c r="BH227" s="151"/>
      <c r="BI227" s="151"/>
      <c r="BJ227" s="150" t="str">
        <f>IF([13]回答表!X47="●",[13]回答表!E369,IF([13]回答表!AA47="●",[13]回答表!E386,""))</f>
        <v/>
      </c>
      <c r="BK227" s="151"/>
      <c r="BL227" s="151"/>
      <c r="BM227" s="152"/>
      <c r="BN227" s="150" t="str">
        <f>IF([13]回答表!X47="●",[13]回答表!E370,IF([13]回答表!AA47="●",[13]回答表!E387,""))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IF([13]回答表!AD47="●","●","")</f>
        <v/>
      </c>
      <c r="O236" s="131"/>
      <c r="P236" s="131"/>
      <c r="Q236" s="132"/>
      <c r="R236" s="119"/>
      <c r="S236" s="119"/>
      <c r="T236" s="119"/>
      <c r="U236" s="133" t="str">
        <f>IF([13]回答表!AD47="●",[13]回答表!B392,"")</f>
        <v/>
      </c>
      <c r="V236" s="134"/>
      <c r="W236" s="134"/>
      <c r="X236" s="134"/>
      <c r="Y236" s="134"/>
      <c r="Z236" s="134"/>
      <c r="AA236" s="134"/>
      <c r="AB236" s="134"/>
      <c r="AC236" s="134"/>
      <c r="AD236" s="134"/>
      <c r="AE236" s="134"/>
      <c r="AF236" s="134"/>
      <c r="AG236" s="134"/>
      <c r="AH236" s="134"/>
      <c r="AI236" s="134"/>
      <c r="AJ236" s="135"/>
      <c r="AK236" s="259"/>
      <c r="AL236" s="259"/>
      <c r="AM236" s="133" t="str">
        <f>IF([13]回答表!AD47="●",[13]回答表!B398,"")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IF([13]回答表!X48="●","●","")</f>
        <v/>
      </c>
      <c r="O248" s="131"/>
      <c r="P248" s="131"/>
      <c r="Q248" s="132"/>
      <c r="R248" s="119"/>
      <c r="S248" s="119"/>
      <c r="T248" s="119"/>
      <c r="U248" s="133" t="str">
        <f>IF([13]回答表!X48="●",[13]回答表!B411,IF([13]回答表!AA48="●",[13]回答表!B425,""))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IF([13]回答表!X48="●",[13]回答表!BC418,IF([13]回答表!AA48="●",[13]回答表!BC432,""))</f>
        <v/>
      </c>
      <c r="AR248" s="272"/>
      <c r="AS248" s="272"/>
      <c r="AT248" s="272"/>
      <c r="AU248" s="273" t="s">
        <v>73</v>
      </c>
      <c r="AV248" s="274"/>
      <c r="AW248" s="274"/>
      <c r="AX248" s="275"/>
      <c r="AY248" s="272" t="str">
        <f>IF([13]回答表!X48="●",[13]回答表!BC423,IF([13]回答表!AA48="●",[13]回答表!BC437,""))</f>
        <v/>
      </c>
      <c r="AZ248" s="272"/>
      <c r="BA248" s="272"/>
      <c r="BB248" s="272"/>
      <c r="BC248" s="120"/>
      <c r="BD248" s="109"/>
      <c r="BE248" s="109"/>
      <c r="BF248" s="138" t="str">
        <f>IF([13]回答表!X48="●",[13]回答表!S417,IF([13]回答表!AA48="●",[13]回答表!S431,""))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IF([13]回答表!X48="●",[13]回答表!BC419,IF([13]回答表!AA48="●",[13]回答表!BC433,""))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IF([13]回答表!X48="●",[13]回答表!V417,IF([13]回答表!AA48="●",[13]回答表!V431,""))</f>
        <v/>
      </c>
      <c r="BG251" s="151"/>
      <c r="BH251" s="151"/>
      <c r="BI251" s="151"/>
      <c r="BJ251" s="150" t="str">
        <f>IF([13]回答表!X48="●",[13]回答表!V418,IF([13]回答表!AA48="●",[13]回答表!V432,""))</f>
        <v/>
      </c>
      <c r="BK251" s="151"/>
      <c r="BL251" s="151"/>
      <c r="BM251" s="152"/>
      <c r="BN251" s="150" t="str">
        <f>IF([13]回答表!X48="●",[13]回答表!V419,IF([13]回答表!AA48="●",[13]回答表!V433,""))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IF([13]回答表!X48="●",[13]回答表!BC420,IF([13]回答表!AA48="●",[13]回答表!BC434,""))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IF([13]回答表!X48="●",[13]回答表!BC424,IF([13]回答表!AA48="●",[13]回答表!BC438,""))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IF([13]回答表!X48="●",[13]回答表!BC421,IF([13]回答表!AA48="●",[13]回答表!BC435,""))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IF([13]回答表!X48="●",[13]回答表!BC422,IF([13]回答表!AA48="●",[13]回答表!BC436,""))</f>
        <v/>
      </c>
      <c r="AR256" s="272"/>
      <c r="AS256" s="272"/>
      <c r="AT256" s="272"/>
      <c r="AU256" s="224" t="s">
        <v>79</v>
      </c>
      <c r="AV256" s="225"/>
      <c r="AW256" s="225"/>
      <c r="AX256" s="226"/>
      <c r="AY256" s="282" t="str">
        <f>IF([13]回答表!X48="●",[13]回答表!BC425,IF([13]回答表!AA48="●",[13]回答表!BC439,""))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IF([13]回答表!AD48="●","●","")</f>
        <v/>
      </c>
      <c r="O260" s="131"/>
      <c r="P260" s="131"/>
      <c r="Q260" s="132"/>
      <c r="R260" s="119"/>
      <c r="S260" s="119"/>
      <c r="T260" s="119"/>
      <c r="U260" s="133" t="str">
        <f>IF([13]回答表!AD48="●",[13]回答表!B439,"")</f>
        <v/>
      </c>
      <c r="V260" s="134"/>
      <c r="W260" s="134"/>
      <c r="X260" s="134"/>
      <c r="Y260" s="134"/>
      <c r="Z260" s="134"/>
      <c r="AA260" s="134"/>
      <c r="AB260" s="134"/>
      <c r="AC260" s="134"/>
      <c r="AD260" s="134"/>
      <c r="AE260" s="134"/>
      <c r="AF260" s="134"/>
      <c r="AG260" s="134"/>
      <c r="AH260" s="134"/>
      <c r="AI260" s="134"/>
      <c r="AJ260" s="135"/>
      <c r="AK260" s="183"/>
      <c r="AL260" s="183"/>
      <c r="AM260" s="133" t="str">
        <f>IF([13]回答表!AD48="●",[13]回答表!B445,"")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IF([13]回答表!X49="●","●","")</f>
        <v/>
      </c>
      <c r="O271" s="131"/>
      <c r="P271" s="131"/>
      <c r="Q271" s="132"/>
      <c r="R271" s="119"/>
      <c r="S271" s="119"/>
      <c r="T271" s="119"/>
      <c r="U271" s="133" t="str">
        <f>IF([13]回答表!X49="●",[13]回答表!B458,IF([13]回答表!AA49="●",[13]回答表!B475,""))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IF([13]回答表!X49="●",[13]回答表!B468,IF([13]回答表!AA49="●",[13]回答表!B485,""))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IF([13]回答表!X49="●",[13]回答表!G464,IF([13]回答表!AA49="●",[13]回答表!G481,""))</f>
        <v/>
      </c>
      <c r="AN273" s="83"/>
      <c r="AO273" s="83"/>
      <c r="AP273" s="83"/>
      <c r="AQ273" s="83"/>
      <c r="AR273" s="83"/>
      <c r="AS273" s="83"/>
      <c r="AT273" s="153"/>
      <c r="AU273" s="82" t="str">
        <f>IF([13]回答表!X49="●",[13]回答表!G465,IF([13]回答表!AA49="●",[13]回答表!G482,""))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IF([13]回答表!X49="●",[13]回答表!E468,IF([13]回答表!AA49="●",[13]回答表!E485,""))</f>
        <v/>
      </c>
      <c r="BG274" s="151"/>
      <c r="BH274" s="151"/>
      <c r="BI274" s="151"/>
      <c r="BJ274" s="150" t="str">
        <f>IF([13]回答表!X49="●",[13]回答表!E469,IF([13]回答表!AA49="●",[13]回答表!E486,""))</f>
        <v/>
      </c>
      <c r="BK274" s="151"/>
      <c r="BL274" s="151"/>
      <c r="BM274" s="152"/>
      <c r="BN274" s="150" t="str">
        <f>IF([13]回答表!X49="●",[13]回答表!E470,IF([13]回答表!AA49="●",[13]回答表!E487,""))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IF([13]回答表!AD49="●","●","")</f>
        <v/>
      </c>
      <c r="O283" s="131"/>
      <c r="P283" s="131"/>
      <c r="Q283" s="132"/>
      <c r="R283" s="119"/>
      <c r="S283" s="119"/>
      <c r="T283" s="119"/>
      <c r="U283" s="133" t="str">
        <f>IF([13]回答表!AD49="●",[13]回答表!B492,"")</f>
        <v/>
      </c>
      <c r="V283" s="134"/>
      <c r="W283" s="134"/>
      <c r="X283" s="134"/>
      <c r="Y283" s="134"/>
      <c r="Z283" s="134"/>
      <c r="AA283" s="134"/>
      <c r="AB283" s="134"/>
      <c r="AC283" s="134"/>
      <c r="AD283" s="134"/>
      <c r="AE283" s="134"/>
      <c r="AF283" s="134"/>
      <c r="AG283" s="134"/>
      <c r="AH283" s="134"/>
      <c r="AI283" s="134"/>
      <c r="AJ283" s="135"/>
      <c r="AK283" s="136"/>
      <c r="AL283" s="136"/>
      <c r="AM283" s="133" t="str">
        <f>IF([13]回答表!AD49="●",[13]回答表!B498,"")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IF([13]回答表!R50="●",[13]回答表!B511,"")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85B82-8092-44FF-BB94-6F44AB7EE592}">
  <sheetPr>
    <pageSetUpPr fitToPage="1"/>
  </sheetPr>
  <dimension ref="A1:CN315"/>
  <sheetViews>
    <sheetView showZeros="0" view="pageBreakPreview" zoomScale="60" zoomScaleNormal="55" workbookViewId="0">
      <selection activeCell="BN142" sqref="BN142:BQ14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IF(COUNTIF([14]回答表!K15,"*")&gt;0,[14]回答表!K15,"")</f>
        <v>由利本荘市</v>
      </c>
      <c r="D11" s="8"/>
      <c r="E11" s="8"/>
      <c r="F11" s="8"/>
      <c r="G11" s="8"/>
      <c r="H11" s="8"/>
      <c r="I11" s="8"/>
      <c r="J11" s="8"/>
      <c r="K11" s="8"/>
      <c r="L11" s="8"/>
      <c r="M11" s="8"/>
      <c r="N11" s="8"/>
      <c r="O11" s="8"/>
      <c r="P11" s="8"/>
      <c r="Q11" s="8"/>
      <c r="R11" s="8"/>
      <c r="S11" s="8"/>
      <c r="T11" s="8"/>
      <c r="U11" s="22" t="str">
        <f>IF(COUNTIF([14]回答表!F17,"*")&gt;0,[14]回答表!F17,"")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IF(COUNTIF([14]回答表!W17,"*")&gt;0,[14]回答表!W17,"")</f>
        <v>老人デイサービスセンター</v>
      </c>
      <c r="AP11" s="10"/>
      <c r="AQ11" s="10"/>
      <c r="AR11" s="10"/>
      <c r="AS11" s="10"/>
      <c r="AT11" s="10"/>
      <c r="AU11" s="10"/>
      <c r="AV11" s="10"/>
      <c r="AW11" s="10"/>
      <c r="AX11" s="10"/>
      <c r="AY11" s="10"/>
      <c r="AZ11" s="10"/>
      <c r="BA11" s="10"/>
      <c r="BB11" s="10"/>
      <c r="BC11" s="10"/>
      <c r="BD11" s="10"/>
      <c r="BE11" s="10"/>
      <c r="BF11" s="11"/>
      <c r="BG11" s="21" t="str">
        <f>IF(COUNTIF([14]回答表!F19,"*")&gt;0,[14]回答表!F19,"")</f>
        <v>介護サービス事業特別会計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IF([14]回答表!R43="●","●","")</f>
        <v/>
      </c>
      <c r="E24" s="80"/>
      <c r="F24" s="80"/>
      <c r="G24" s="80"/>
      <c r="H24" s="80"/>
      <c r="I24" s="80"/>
      <c r="J24" s="81"/>
      <c r="K24" s="79" t="str">
        <f>IF([14]回答表!R44="●","●","")</f>
        <v/>
      </c>
      <c r="L24" s="80"/>
      <c r="M24" s="80"/>
      <c r="N24" s="80"/>
      <c r="O24" s="80"/>
      <c r="P24" s="80"/>
      <c r="Q24" s="81"/>
      <c r="R24" s="79" t="str">
        <f>IF([14]回答表!R45="●","●","")</f>
        <v/>
      </c>
      <c r="S24" s="80"/>
      <c r="T24" s="80"/>
      <c r="U24" s="80"/>
      <c r="V24" s="80"/>
      <c r="W24" s="80"/>
      <c r="X24" s="81"/>
      <c r="Y24" s="79" t="str">
        <f>IF([14]回答表!R46="●","●","")</f>
        <v>●</v>
      </c>
      <c r="Z24" s="80"/>
      <c r="AA24" s="80"/>
      <c r="AB24" s="80"/>
      <c r="AC24" s="80"/>
      <c r="AD24" s="80"/>
      <c r="AE24" s="81"/>
      <c r="AF24" s="79" t="str">
        <f>IF([14]回答表!R47="●","●","")</f>
        <v/>
      </c>
      <c r="AG24" s="80"/>
      <c r="AH24" s="80"/>
      <c r="AI24" s="80"/>
      <c r="AJ24" s="80"/>
      <c r="AK24" s="80"/>
      <c r="AL24" s="81"/>
      <c r="AM24" s="79" t="str">
        <f>IF([14]回答表!R48="●","●","")</f>
        <v/>
      </c>
      <c r="AN24" s="80"/>
      <c r="AO24" s="80"/>
      <c r="AP24" s="80"/>
      <c r="AQ24" s="80"/>
      <c r="AR24" s="80"/>
      <c r="AS24" s="81"/>
      <c r="AT24" s="79" t="str">
        <f>IF([14]回答表!R49="●","●","")</f>
        <v/>
      </c>
      <c r="AU24" s="80"/>
      <c r="AV24" s="80"/>
      <c r="AW24" s="80"/>
      <c r="AX24" s="80"/>
      <c r="AY24" s="80"/>
      <c r="AZ24" s="81"/>
      <c r="BA24" s="68"/>
      <c r="BB24" s="82" t="str">
        <f>IF([14]回答表!R50="●","●","")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IF([14]回答表!X43="●","●","")</f>
        <v/>
      </c>
      <c r="O36" s="131"/>
      <c r="P36" s="131"/>
      <c r="Q36" s="132"/>
      <c r="R36" s="119"/>
      <c r="S36" s="119"/>
      <c r="T36" s="119"/>
      <c r="U36" s="133" t="str">
        <f>IF([14]回答表!X43="●",[14]回答表!B59,IF([14]回答表!AA43="●",[14]回答表!B79,""))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IF([14]回答表!X43="●",[14]回答表!S65,IF([14]回答表!AA43="●",[14]回答表!S85,""))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IF([14]回答表!X43="●",[14]回答表!G65,IF([14]回答表!AA43="●",[14]回答表!G85,""))</f>
        <v/>
      </c>
      <c r="AN38" s="83"/>
      <c r="AO38" s="83"/>
      <c r="AP38" s="83"/>
      <c r="AQ38" s="83"/>
      <c r="AR38" s="83"/>
      <c r="AS38" s="83"/>
      <c r="AT38" s="153"/>
      <c r="AU38" s="82" t="str">
        <f>IF([14]回答表!X43="●",[14]回答表!G66,IF([14]回答表!AA43="●",[14]回答表!G86,""))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IF([14]回答表!X43="●",[14]回答表!V65,IF([14]回答表!AA43="●",[14]回答表!V85,""))</f>
        <v/>
      </c>
      <c r="BG39" s="16"/>
      <c r="BH39" s="16"/>
      <c r="BI39" s="17"/>
      <c r="BJ39" s="150" t="str">
        <f>IF([14]回答表!X43="●",[14]回答表!V66,IF([14]回答表!AA43="●",[14]回答表!V86,""))</f>
        <v/>
      </c>
      <c r="BK39" s="16"/>
      <c r="BL39" s="16"/>
      <c r="BM39" s="17"/>
      <c r="BN39" s="150" t="str">
        <f>IF([14]回答表!X43="●",[14]回答表!V67,IF([14]回答表!AA43="●",[14]回答表!V87,""))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IF([14]回答表!X43="●",[14]回答表!O71,IF([14]回答表!AA43="●",[14]回答表!O91,""))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IF([14]回答表!X43="●",[14]回答表!O72,IF([14]回答表!AA43="●",[14]回答表!O92,""))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IF([14]回答表!X43="●",[14]回答表!O73,IF([14]回答表!AA43="●",[14]回答表!O93,""))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IF([14]回答表!X43="●",[14]回答表!O74,IF([14]回答表!AA43="●",[14]回答表!O94,""))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IF([14]回答表!X43="●",[14]回答表!AG71,IF([14]回答表!AA43="●",[14]回答表!AG91,""))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IF([14]回答表!X43="●",[14]回答表!AG72,IF([14]回答表!AA43="●",[14]回答表!AG92,""))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IF([14]回答表!AD43="●","●","")</f>
        <v/>
      </c>
      <c r="O51" s="131"/>
      <c r="P51" s="131"/>
      <c r="Q51" s="132"/>
      <c r="R51" s="119"/>
      <c r="S51" s="119"/>
      <c r="T51" s="119"/>
      <c r="U51" s="133" t="str">
        <f>IF([14]回答表!AD43="●",[14]回答表!B99,"")</f>
        <v/>
      </c>
      <c r="V51" s="134"/>
      <c r="W51" s="134"/>
      <c r="X51" s="134"/>
      <c r="Y51" s="134"/>
      <c r="Z51" s="134"/>
      <c r="AA51" s="134"/>
      <c r="AB51" s="134"/>
      <c r="AC51" s="134"/>
      <c r="AD51" s="134"/>
      <c r="AE51" s="134"/>
      <c r="AF51" s="134"/>
      <c r="AG51" s="134"/>
      <c r="AH51" s="134"/>
      <c r="AI51" s="134"/>
      <c r="AJ51" s="135"/>
      <c r="AK51" s="183"/>
      <c r="AL51" s="183"/>
      <c r="AM51" s="133" t="str">
        <f>IF([14]回答表!AD43="●",[14]回答表!B104,"")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IF([14]回答表!X44="●","●","")</f>
        <v/>
      </c>
      <c r="O62" s="131"/>
      <c r="P62" s="131"/>
      <c r="Q62" s="132"/>
      <c r="R62" s="119"/>
      <c r="S62" s="119"/>
      <c r="T62" s="119"/>
      <c r="U62" s="133" t="str">
        <f>IF([14]回答表!X44="●",[14]回答表!B115,IF([14]回答表!AA44="●",[14]回答表!B127,""))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IF([14]回答表!X44="●",[14]回答表!S121,IF([14]回答表!AA44="●",[14]回答表!S133,""))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IF([14]回答表!X44="●",[14]回答表!J121,IF([14]回答表!AA44="●",[14]回答表!J133,""))</f>
        <v/>
      </c>
      <c r="AN65" s="83"/>
      <c r="AO65" s="83"/>
      <c r="AP65" s="83"/>
      <c r="AQ65" s="83"/>
      <c r="AR65" s="83"/>
      <c r="AS65" s="83"/>
      <c r="AT65" s="153"/>
      <c r="AU65" s="82" t="str">
        <f>IF([14]回答表!X44="●",[14]回答表!J122,IF([14]回答表!AA44="●",[14]回答表!J134,""))</f>
        <v/>
      </c>
      <c r="AV65" s="83"/>
      <c r="AW65" s="83"/>
      <c r="AX65" s="83"/>
      <c r="AY65" s="83"/>
      <c r="AZ65" s="83"/>
      <c r="BA65" s="83"/>
      <c r="BB65" s="153"/>
      <c r="BC65" s="120"/>
      <c r="BD65" s="109"/>
      <c r="BE65" s="109"/>
      <c r="BF65" s="150" t="str">
        <f>IF([14]回答表!X44="●",[14]回答表!V121,IF([14]回答表!AA44="●",[14]回答表!V133,""))</f>
        <v/>
      </c>
      <c r="BG65" s="151"/>
      <c r="BH65" s="151"/>
      <c r="BI65" s="151"/>
      <c r="BJ65" s="150" t="str">
        <f>IF([14]回答表!X44="●",[14]回答表!V122,IF([14]回答表!AA44="●",[14]回答表!V134,""))</f>
        <v/>
      </c>
      <c r="BK65" s="151"/>
      <c r="BL65" s="151"/>
      <c r="BM65" s="151"/>
      <c r="BN65" s="150" t="str">
        <f>IF([14]回答表!X44="●",[14]回答表!V123,IF([14]回答表!AA44="●",[14]回答表!V135,""))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IF([14]回答表!AD44="●","●","")</f>
        <v/>
      </c>
      <c r="O74" s="131"/>
      <c r="P74" s="131"/>
      <c r="Q74" s="132"/>
      <c r="R74" s="119"/>
      <c r="S74" s="119"/>
      <c r="T74" s="119"/>
      <c r="U74" s="133" t="str">
        <f>IF([14]回答表!AD44="●",[14]回答表!B140,"")</f>
        <v/>
      </c>
      <c r="V74" s="134"/>
      <c r="W74" s="134"/>
      <c r="X74" s="134"/>
      <c r="Y74" s="134"/>
      <c r="Z74" s="134"/>
      <c r="AA74" s="134"/>
      <c r="AB74" s="134"/>
      <c r="AC74" s="134"/>
      <c r="AD74" s="134"/>
      <c r="AE74" s="134"/>
      <c r="AF74" s="134"/>
      <c r="AG74" s="134"/>
      <c r="AH74" s="134"/>
      <c r="AI74" s="134"/>
      <c r="AJ74" s="135"/>
      <c r="AK74" s="183"/>
      <c r="AL74" s="183"/>
      <c r="AM74" s="133" t="str">
        <f>IF([14]回答表!AD44="●",[14]回答表!B146,"")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IF([14]回答表!F17="水道事業",IF([14]回答表!X45="●","●",""),"")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IF([14]回答表!F17="水道事業",IF([14]回答表!X45="●",[14]回答表!B158,IF([14]回答表!AA45="●",[14]回答表!B223,"")),"")</f>
        <v/>
      </c>
      <c r="AN86" s="201"/>
      <c r="AO86" s="201"/>
      <c r="AP86" s="201"/>
      <c r="AQ86" s="201"/>
      <c r="AR86" s="201"/>
      <c r="AS86" s="201"/>
      <c r="AT86" s="201"/>
      <c r="AU86" s="201"/>
      <c r="AV86" s="201"/>
      <c r="AW86" s="201"/>
      <c r="AX86" s="201"/>
      <c r="AY86" s="201"/>
      <c r="AZ86" s="201"/>
      <c r="BA86" s="201"/>
      <c r="BB86" s="201"/>
      <c r="BC86" s="202"/>
      <c r="BD86" s="109"/>
      <c r="BE86" s="109"/>
      <c r="BF86" s="138" t="str">
        <f>IF([14]回答表!F17="水道事業",IF([14]回答表!X45="●",[14]回答表!B212,IF([14]回答表!AA45="●",[14]回答表!B278,"")),"")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IF([14]回答表!F17="水道事業",IF([14]回答表!X45="●",[14]回答表!J166,IF([14]回答表!AA45="●",[14]回答表!J231,"")),"")</f>
        <v/>
      </c>
      <c r="V88" s="83"/>
      <c r="W88" s="83"/>
      <c r="X88" s="83"/>
      <c r="Y88" s="83"/>
      <c r="Z88" s="83"/>
      <c r="AA88" s="83"/>
      <c r="AB88" s="153"/>
      <c r="AC88" s="82" t="str">
        <f>IF([14]回答表!F17="水道事業",IF([14]回答表!X45="●",[14]回答表!J173,IF([14]回答表!AA45="●",[14]回答表!J238,"")),"")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IF([14]回答表!F17="水道事業",IF([14]回答表!X45="●",[14]回答表!E212,IF([14]回答表!AA45="●",[14]回答表!E278,"")),"")</f>
        <v/>
      </c>
      <c r="BG89" s="151"/>
      <c r="BH89" s="151"/>
      <c r="BI89" s="151"/>
      <c r="BJ89" s="150" t="str">
        <f>IF([14]回答表!F17="水道事業",IF([14]回答表!X45="●",[14]回答表!E213,IF([14]回答表!AA45="●",[14]回答表!E279,"")),"")</f>
        <v/>
      </c>
      <c r="BK89" s="151"/>
      <c r="BL89" s="151"/>
      <c r="BM89" s="151"/>
      <c r="BN89" s="150" t="str">
        <f>IF([14]回答表!F17="水道事業",IF([14]回答表!X45="●",[14]回答表!E214,IF([14]回答表!AA45="●",[14]回答表!E280,"")),"")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IF([14]回答表!F17="水道事業",IF([14]回答表!AA45="●","●",""),"")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IF([14]回答表!F17="水道事業",IF([14]回答表!X45="●",[14]回答表!J176,IF([14]回答表!AA45="●",[14]回答表!J241,"")),"")</f>
        <v/>
      </c>
      <c r="V93" s="83"/>
      <c r="W93" s="83"/>
      <c r="X93" s="83"/>
      <c r="Y93" s="83"/>
      <c r="Z93" s="83"/>
      <c r="AA93" s="83"/>
      <c r="AB93" s="153"/>
      <c r="AC93" s="82" t="str">
        <f>IF([14]回答表!F17="水道事業",IF([14]回答表!X45="●",[14]回答表!J180,IF([14]回答表!AA45="●",[14]回答表!J245,"")),"")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IF([14]回答表!F17="水道事業",IF([14]回答表!AD45="●","●",""),"")</f>
        <v/>
      </c>
      <c r="O98" s="131"/>
      <c r="P98" s="131"/>
      <c r="Q98" s="132"/>
      <c r="R98" s="119"/>
      <c r="S98" s="119"/>
      <c r="T98" s="119"/>
      <c r="U98" s="133" t="str">
        <f>IF([14]回答表!F17="水道事業",IF([14]回答表!AD45="●",[14]回答表!B289,""),"")</f>
        <v/>
      </c>
      <c r="V98" s="134"/>
      <c r="W98" s="134"/>
      <c r="X98" s="134"/>
      <c r="Y98" s="134"/>
      <c r="Z98" s="134"/>
      <c r="AA98" s="134"/>
      <c r="AB98" s="134"/>
      <c r="AC98" s="134"/>
      <c r="AD98" s="134"/>
      <c r="AE98" s="134"/>
      <c r="AF98" s="134"/>
      <c r="AG98" s="134"/>
      <c r="AH98" s="134"/>
      <c r="AI98" s="134"/>
      <c r="AJ98" s="135"/>
      <c r="AK98" s="183"/>
      <c r="AL98" s="183"/>
      <c r="AM98" s="133" t="str">
        <f>IF([14]回答表!F17="水道事業",IF([14]回答表!AD45="●",[14]回答表!B295,""),"")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IF([14]回答表!F17="簡易水道事業",IF([14]回答表!X45="●",[14]回答表!B158,IF([14]回答表!AA45="●",[14]回答表!B223,"")),"")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IF([14]回答表!F17="簡易水道事業",IF([14]回答表!X45="●",[14]回答表!B212,IF([14]回答表!AA45="●",[14]回答表!B278,"")),"")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IF([14]回答表!F17="簡易水道事業",IF([14]回答表!X45="●","●",""),"")</f>
        <v/>
      </c>
      <c r="O112" s="131"/>
      <c r="P112" s="131"/>
      <c r="Q112" s="132"/>
      <c r="R112" s="119"/>
      <c r="S112" s="119"/>
      <c r="T112" s="119"/>
      <c r="U112" s="82" t="str">
        <f>IF([14]回答表!F17="簡易水道事業",IF([14]回答表!X45="●",[14]回答表!Y185,IF([14]回答表!AA45="●",[14]回答表!Y251,"")),"")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IF([14]回答表!F17="簡易水道事業",IF([14]回答表!X45="●",[14]回答表!E212,IF([14]回答表!AA45="●",[14]回答表!E278,"")),"")</f>
        <v/>
      </c>
      <c r="BG113" s="151"/>
      <c r="BH113" s="151"/>
      <c r="BI113" s="151"/>
      <c r="BJ113" s="150" t="str">
        <f>IF([14]回答表!F17="簡易水道事業",IF([14]回答表!X45="●",[14]回答表!E213,IF([14]回答表!AA45="●",[14]回答表!E279,"")),"")</f>
        <v/>
      </c>
      <c r="BK113" s="151"/>
      <c r="BL113" s="151"/>
      <c r="BM113" s="151"/>
      <c r="BN113" s="150" t="str">
        <f>IF([14]回答表!F17="簡易水道事業",IF([14]回答表!X45="●",[14]回答表!E214,IF([14]回答表!AA45="●",[14]回答表!E280,"")),"")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IF([14]回答表!F17="簡易水道事業",IF([14]回答表!X45="●",[14]回答表!Y186,IF([14]回答表!AA45="●",[14]回答表!Y252,"")),"")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IF([14]回答表!F17="簡易水道事業",IF([14]回答表!AA45="●","●",""),"")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IF([14]回答表!F17="簡易水道事業",IF([14]回答表!X45="●",[14]回答表!Y187,IF([14]回答表!AA45="●",[14]回答表!Y253,"")),"")</f>
        <v/>
      </c>
      <c r="V122" s="83"/>
      <c r="W122" s="83"/>
      <c r="X122" s="83"/>
      <c r="Y122" s="83"/>
      <c r="Z122" s="83"/>
      <c r="AA122" s="83"/>
      <c r="AB122" s="83"/>
      <c r="AC122" s="83"/>
      <c r="AD122" s="83"/>
      <c r="AE122" s="83"/>
      <c r="AF122" s="83"/>
      <c r="AG122" s="83"/>
      <c r="AH122" s="83"/>
      <c r="AI122" s="83"/>
      <c r="AJ122" s="153"/>
      <c r="AK122" s="68"/>
      <c r="AL122" s="68"/>
      <c r="AM122" s="233" t="str">
        <f>IF([14]回答表!F17="簡易水道事業",IF([14]回答表!X45="●",[14]回答表!Y189,IF([14]回答表!AA45="●",[14]回答表!Y255,"")),"")</f>
        <v/>
      </c>
      <c r="AN122" s="233"/>
      <c r="AO122" s="233"/>
      <c r="AP122" s="233"/>
      <c r="AQ122" s="233"/>
      <c r="AR122" s="233"/>
      <c r="AS122" s="233" t="str">
        <f>IF([14]回答表!F17="簡易水道事業",IF([14]回答表!X45="●",[14]回答表!Y190,IF([14]回答表!AA45="●",[14]回答表!Y256,"")),"")</f>
        <v/>
      </c>
      <c r="AT122" s="233"/>
      <c r="AU122" s="233"/>
      <c r="AV122" s="233"/>
      <c r="AW122" s="233"/>
      <c r="AX122" s="233"/>
      <c r="AY122" s="233" t="str">
        <f>IF([14]回答表!F17="簡易水道事業",IF([14]回答表!X45="●",[14]回答表!Y191,IF([14]回答表!AA45="●",[14]回答表!Y257,"")),"")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IF([14]回答表!F17="簡易水道事業",IF([14]回答表!AD45="●","●",""),"")</f>
        <v/>
      </c>
      <c r="O127" s="131"/>
      <c r="P127" s="131"/>
      <c r="Q127" s="132"/>
      <c r="R127" s="119"/>
      <c r="S127" s="119"/>
      <c r="T127" s="119"/>
      <c r="U127" s="133" t="str">
        <f>IF([14]回答表!F17="簡易水道事業",IF([14]回答表!AD45="●",[14]回答表!B289,""),"")</f>
        <v/>
      </c>
      <c r="V127" s="134"/>
      <c r="W127" s="134"/>
      <c r="X127" s="134"/>
      <c r="Y127" s="134"/>
      <c r="Z127" s="134"/>
      <c r="AA127" s="134"/>
      <c r="AB127" s="134"/>
      <c r="AC127" s="134"/>
      <c r="AD127" s="134"/>
      <c r="AE127" s="134"/>
      <c r="AF127" s="134"/>
      <c r="AG127" s="134"/>
      <c r="AH127" s="134"/>
      <c r="AI127" s="134"/>
      <c r="AJ127" s="135"/>
      <c r="AK127" s="183"/>
      <c r="AL127" s="183"/>
      <c r="AM127" s="133" t="str">
        <f>IF([14]回答表!F17="簡易水道事業",IF([14]回答表!AD45="●",[14]回答表!B295,""),"")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IF([14]回答表!F17="下水道事業",IF([14]回答表!X45="●","●",""),"")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IF([14]回答表!F17="下水道事業",IF([14]回答表!X45="●",[14]回答表!B158,IF([14]回答表!AA45="●",[14]回答表!B223,"")),"")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IF([14]回答表!F17="下水道事業",IF([14]回答表!X45="●",[14]回答表!B212,IF([14]回答表!AA45="●",[14]回答表!B278,"")),"")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IF([14]回答表!F17="下水道事業",IF([14]回答表!X45="●",[14]回答表!Y193,IF([14]回答表!AA45="●",[14]回答表!Y259,"")),"")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IF([14]回答表!F17="下水道事業",IF([14]回答表!X45="●",[14]回答表!E212,IF([14]回答表!AA45="●",[14]回答表!E278,"")),"")</f>
        <v/>
      </c>
      <c r="BG142" s="151"/>
      <c r="BH142" s="151"/>
      <c r="BI142" s="151"/>
      <c r="BJ142" s="150" t="str">
        <f>IF([14]回答表!F17="下水道事業",IF([14]回答表!X45="●",[14]回答表!E213,IF([14]回答表!AA45="●",[14]回答表!E279,"")),"")</f>
        <v/>
      </c>
      <c r="BK142" s="151"/>
      <c r="BL142" s="151"/>
      <c r="BM142" s="151"/>
      <c r="BN142" s="150" t="str">
        <f>IF([14]回答表!F17="下水道事業",IF([14]回答表!X45="●",[14]回答表!E214,IF([14]回答表!AA45="●",[14]回答表!E280,"")),"")</f>
        <v/>
      </c>
      <c r="BO142" s="151"/>
      <c r="BP142" s="151"/>
      <c r="BQ142" s="152"/>
      <c r="BR142" s="112"/>
      <c r="BX142" s="200" t="str">
        <f>IF([14]回答表!AQ20="下水道事業",IF([14]回答表!BI48="○",[14]回答表!AM161,IF([14]回答表!BL48="○",[14]回答表!AM226,"")),"")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IF([14]回答表!F17="下水道事業",IF([14]回答表!X45="●",[14]回答表!Y195,IF([14]回答表!AA45="●",[14]回答表!Y261,"")),"")</f>
        <v/>
      </c>
      <c r="V147" s="83"/>
      <c r="W147" s="83"/>
      <c r="X147" s="83"/>
      <c r="Y147" s="83"/>
      <c r="Z147" s="83"/>
      <c r="AA147" s="83"/>
      <c r="AB147" s="153"/>
      <c r="AC147" s="82" t="str">
        <f>IF([14]回答表!F17="下水道事業",IF([14]回答表!X45="●",[14]回答表!Y196,IF([14]回答表!AA45="●",[14]回答表!Y262,"")),"")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IF([14]回答表!F17="下水道事業",IF([14]回答表!X45="●",[14]回答表!Y198,IF([14]回答表!AA45="●",[14]回答表!Y264,"")),"")</f>
        <v/>
      </c>
      <c r="V153" s="83"/>
      <c r="W153" s="83"/>
      <c r="X153" s="83"/>
      <c r="Y153" s="83"/>
      <c r="Z153" s="83"/>
      <c r="AA153" s="83"/>
      <c r="AB153" s="153"/>
      <c r="AC153" s="82" t="str">
        <f>IF([14]回答表!F17="下水道事業",IF([14]回答表!X45="●",[14]回答表!Y199,IF([14]回答表!AA45="●",[14]回答表!Y265,"")),"")</f>
        <v/>
      </c>
      <c r="AD153" s="83"/>
      <c r="AE153" s="83"/>
      <c r="AF153" s="83"/>
      <c r="AG153" s="83"/>
      <c r="AH153" s="83"/>
      <c r="AI153" s="83"/>
      <c r="AJ153" s="153"/>
      <c r="AK153" s="82" t="str">
        <f>IF([14]回答表!F17="下水道事業",IF([14]回答表!X45="●",[14]回答表!Y200,IF([14]回答表!AA45="●",[14]回答表!Y266,"")),"")</f>
        <v/>
      </c>
      <c r="AL153" s="83"/>
      <c r="AM153" s="83"/>
      <c r="AN153" s="83"/>
      <c r="AO153" s="83"/>
      <c r="AP153" s="83"/>
      <c r="AQ153" s="83"/>
      <c r="AR153" s="153"/>
      <c r="AS153" s="82" t="str">
        <f>IF([14]回答表!F17="下水道事業",IF([14]回答表!X45="●",[14]回答表!Y201,IF([14]回答表!AA45="●",[14]回答表!Y267,"")),"")</f>
        <v/>
      </c>
      <c r="AT153" s="83"/>
      <c r="AU153" s="83"/>
      <c r="AV153" s="83"/>
      <c r="AW153" s="83"/>
      <c r="AX153" s="83"/>
      <c r="AY153" s="83"/>
      <c r="AZ153" s="153"/>
      <c r="BA153" s="82" t="str">
        <f>IF([14]回答表!F17="下水道事業",IF([14]回答表!X45="●",[14]回答表!Y202,IF([14]回答表!AA45="●",[14]回答表!Y268,"")),"")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IF([14]回答表!F17="下水道事業",IF([14]回答表!AA45="●","●",""),"")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IF([14]回答表!F17="下水道事業",IF([14]回答表!X45="●",[14]回答表!Y207,IF([14]回答表!AA45="●",[14]回答表!Y273,"")),"")</f>
        <v/>
      </c>
      <c r="V159" s="83"/>
      <c r="W159" s="83"/>
      <c r="X159" s="83"/>
      <c r="Y159" s="83"/>
      <c r="Z159" s="83"/>
      <c r="AA159" s="83"/>
      <c r="AB159" s="153"/>
      <c r="AC159" s="82" t="str">
        <f>IF([14]回答表!F17="下水道事業",IF([14]回答表!X45="●",[14]回答表!Y208,IF([14]回答表!AA45="●",[14]回答表!Y274,"")),"")</f>
        <v/>
      </c>
      <c r="AD159" s="83"/>
      <c r="AE159" s="83"/>
      <c r="AF159" s="83"/>
      <c r="AG159" s="83"/>
      <c r="AH159" s="83"/>
      <c r="AI159" s="83"/>
      <c r="AJ159" s="153"/>
      <c r="AK159" s="82" t="str">
        <f>IF([14]回答表!F17="下水道事業",IF([14]回答表!X45="●",[14]回答表!Y209,IF([14]回答表!AA45="●",[14]回答表!Y275,"")),"")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IF([14]回答表!F17="下水道事業",IF([14]回答表!AD45="●","●",""),"")</f>
        <v/>
      </c>
      <c r="O164" s="131"/>
      <c r="P164" s="131"/>
      <c r="Q164" s="132"/>
      <c r="R164" s="119"/>
      <c r="S164" s="119"/>
      <c r="T164" s="119"/>
      <c r="U164" s="133" t="str">
        <f>IF([14]回答表!F17="下水道事業",IF([14]回答表!AD45="●",[14]回答表!B289,""),"")</f>
        <v/>
      </c>
      <c r="V164" s="134"/>
      <c r="W164" s="134"/>
      <c r="X164" s="134"/>
      <c r="Y164" s="134"/>
      <c r="Z164" s="134"/>
      <c r="AA164" s="134"/>
      <c r="AB164" s="134"/>
      <c r="AC164" s="134"/>
      <c r="AD164" s="134"/>
      <c r="AE164" s="134"/>
      <c r="AF164" s="134"/>
      <c r="AG164" s="134"/>
      <c r="AH164" s="134"/>
      <c r="AI164" s="134"/>
      <c r="AJ164" s="135"/>
      <c r="AK164" s="183"/>
      <c r="AL164" s="183"/>
      <c r="AM164" s="133" t="str">
        <f>IF([14]回答表!F17="下水道事業",IF([14]回答表!AD45="●",[14]回答表!B295,""),"")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IF([14]回答表!BD17="●",IF([14]回答表!X45="●","●",""),"")</f>
        <v/>
      </c>
      <c r="O176" s="131"/>
      <c r="P176" s="131"/>
      <c r="Q176" s="132"/>
      <c r="R176" s="119"/>
      <c r="S176" s="119"/>
      <c r="T176" s="119"/>
      <c r="U176" s="133" t="str">
        <f>IF([14]回答表!BD17="●",IF([14]回答表!X45="●",[14]回答表!B158,IF([14]回答表!AA45="●",[14]回答表!B223,"")),"")</f>
        <v/>
      </c>
      <c r="V176" s="134"/>
      <c r="W176" s="134"/>
      <c r="X176" s="134"/>
      <c r="Y176" s="134"/>
      <c r="Z176" s="134"/>
      <c r="AA176" s="134"/>
      <c r="AB176" s="134"/>
      <c r="AC176" s="134"/>
      <c r="AD176" s="134"/>
      <c r="AE176" s="134"/>
      <c r="AF176" s="134"/>
      <c r="AG176" s="134"/>
      <c r="AH176" s="134"/>
      <c r="AI176" s="134"/>
      <c r="AJ176" s="135"/>
      <c r="AK176" s="136"/>
      <c r="AL176" s="136"/>
      <c r="AM176" s="138" t="str">
        <f>IF([14]回答表!BD17="●",IF([14]回答表!X45="●",[14]回答表!B212,IF([14]回答表!AA45="●",[14]回答表!B278,"")),"")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IF([14]回答表!BD17="●",IF([14]回答表!X45="●",[14]回答表!E212,IF([14]回答表!AA45="●",[14]回答表!E278,"")),"")</f>
        <v/>
      </c>
      <c r="AN179" s="151"/>
      <c r="AO179" s="151"/>
      <c r="AP179" s="151"/>
      <c r="AQ179" s="150" t="str">
        <f>IF([14]回答表!BD17="●",IF([14]回答表!X45="●",[14]回答表!E213,IF([14]回答表!AA45="●",[14]回答表!E279,"")),"")</f>
        <v/>
      </c>
      <c r="AR179" s="151"/>
      <c r="AS179" s="151"/>
      <c r="AT179" s="151"/>
      <c r="AU179" s="150" t="str">
        <f>IF([14]回答表!BD17="●",IF([14]回答表!X45="●",[14]回答表!E214,IF([14]回答表!AA45="●",[14]回答表!E280,"")),"")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IF([14]回答表!BD17="●",IF([14]回答表!AA45="●","●",""),"")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IF([14]回答表!BD17="●",IF([14]回答表!AD45="●","●",""),"")</f>
        <v/>
      </c>
      <c r="O188" s="131"/>
      <c r="P188" s="131"/>
      <c r="Q188" s="132"/>
      <c r="R188" s="119"/>
      <c r="S188" s="119"/>
      <c r="T188" s="119"/>
      <c r="U188" s="133" t="str">
        <f>IF([14]回答表!BD17="●",IF([14]回答表!AD45="●",[14]回答表!B289,""),"")</f>
        <v/>
      </c>
      <c r="V188" s="134"/>
      <c r="W188" s="134"/>
      <c r="X188" s="134"/>
      <c r="Y188" s="134"/>
      <c r="Z188" s="134"/>
      <c r="AA188" s="134"/>
      <c r="AB188" s="134"/>
      <c r="AC188" s="134"/>
      <c r="AD188" s="134"/>
      <c r="AE188" s="134"/>
      <c r="AF188" s="134"/>
      <c r="AG188" s="134"/>
      <c r="AH188" s="134"/>
      <c r="AI188" s="134"/>
      <c r="AJ188" s="135"/>
      <c r="AK188" s="183"/>
      <c r="AL188" s="183"/>
      <c r="AM188" s="133" t="str">
        <f>IF([14]回答表!BD17="●",IF([14]回答表!AD45="●",[14]回答表!B295,""),"")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IF([14]回答表!X46="●","●","")</f>
        <v>●</v>
      </c>
      <c r="O200" s="131"/>
      <c r="P200" s="131"/>
      <c r="Q200" s="132"/>
      <c r="R200" s="119"/>
      <c r="S200" s="119"/>
      <c r="T200" s="119"/>
      <c r="U200" s="133" t="str">
        <f>IF([14]回答表!X46="●",[14]回答表!B307,IF([14]回答表!AA46="●",[14]回答表!B324,""))</f>
        <v>特別養護老人ホーム「鳥寿苑」は、Ｈ28.4.1に指定管理を開始している。（Ｈ37年度末まで10年間）
特別養護老人ホーム「東光苑」は、Ｈ29.4.1から指定管理を開始している。（Ｈ37年度末まで9年間）
指定管理者は、両施設とも社会福祉法人由愛会であり、運営自体は良好である。</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IF([14]回答表!X46="●",[14]回答表!U313,IF([14]回答表!AA46="●",[14]回答表!U330,""))</f>
        <v>平成</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IF([14]回答表!X46="●",[14]回答表!G313,IF([14]回答表!AA46="●",[14]回答表!G330,""))</f>
        <v xml:space="preserve"> </v>
      </c>
      <c r="AN203" s="83"/>
      <c r="AO203" s="83"/>
      <c r="AP203" s="83"/>
      <c r="AQ203" s="83"/>
      <c r="AR203" s="83"/>
      <c r="AS203" s="83"/>
      <c r="AT203" s="153"/>
      <c r="AU203" s="82" t="str">
        <f>IF([14]回答表!X46="●",[14]回答表!G314,IF([14]回答表!AA46="●",[14]回答表!G331,""))</f>
        <v>●</v>
      </c>
      <c r="AV203" s="83"/>
      <c r="AW203" s="83"/>
      <c r="AX203" s="83"/>
      <c r="AY203" s="83"/>
      <c r="AZ203" s="83"/>
      <c r="BA203" s="83"/>
      <c r="BB203" s="153"/>
      <c r="BC203" s="120"/>
      <c r="BD203" s="109"/>
      <c r="BE203" s="109"/>
      <c r="BF203" s="150">
        <f>IF([14]回答表!X46="●",[14]回答表!X313,IF([14]回答表!AA46="●",[14]回答表!X330,""))</f>
        <v>28</v>
      </c>
      <c r="BG203" s="151"/>
      <c r="BH203" s="151"/>
      <c r="BI203" s="151"/>
      <c r="BJ203" s="150">
        <f>IF([14]回答表!X46="●",[14]回答表!X314,IF([14]回答表!AA46="●",[14]回答表!X331,""))</f>
        <v>4</v>
      </c>
      <c r="BK203" s="151"/>
      <c r="BL203" s="151"/>
      <c r="BM203" s="152"/>
      <c r="BN203" s="150">
        <f>IF([14]回答表!X46="●",[14]回答表!X315,IF([14]回答表!AA46="●",[14]回答表!X332,""))</f>
        <v>1</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IF([14]回答表!AD46="●","●","")</f>
        <v/>
      </c>
      <c r="O212" s="131"/>
      <c r="P212" s="131"/>
      <c r="Q212" s="132"/>
      <c r="R212" s="119"/>
      <c r="S212" s="119"/>
      <c r="T212" s="119"/>
      <c r="U212" s="133" t="str">
        <f>IF([14]回答表!AD46="●",[14]回答表!B337,"")</f>
        <v/>
      </c>
      <c r="V212" s="134"/>
      <c r="W212" s="134"/>
      <c r="X212" s="134"/>
      <c r="Y212" s="134"/>
      <c r="Z212" s="134"/>
      <c r="AA212" s="134"/>
      <c r="AB212" s="134"/>
      <c r="AC212" s="134"/>
      <c r="AD212" s="134"/>
      <c r="AE212" s="134"/>
      <c r="AF212" s="134"/>
      <c r="AG212" s="134"/>
      <c r="AH212" s="134"/>
      <c r="AI212" s="134"/>
      <c r="AJ212" s="135"/>
      <c r="AK212" s="259"/>
      <c r="AL212" s="259"/>
      <c r="AM212" s="133" t="str">
        <f>IF([14]回答表!AD46="●",[14]回答表!B343,"")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IF([14]回答表!X47="●","●","")</f>
        <v/>
      </c>
      <c r="O224" s="131"/>
      <c r="P224" s="131"/>
      <c r="Q224" s="132"/>
      <c r="R224" s="119"/>
      <c r="S224" s="119"/>
      <c r="T224" s="119"/>
      <c r="U224" s="133" t="str">
        <f>IF([14]回答表!X47="●",[14]回答表!B356,IF([14]回答表!AA47="●",[14]回答表!B379,""))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IF([14]回答表!X47="●",[14]回答表!B362,"")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IF([14]回答表!X47="●",[14]回答表!B368,IF([14]回答表!AA47="●",[14]回答表!B385,""))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IF([14]回答表!X47="●",[14]回答表!E368,IF([14]回答表!AA47="●",[14]回答表!E385,""))</f>
        <v/>
      </c>
      <c r="BG227" s="151"/>
      <c r="BH227" s="151"/>
      <c r="BI227" s="151"/>
      <c r="BJ227" s="150" t="str">
        <f>IF([14]回答表!X47="●",[14]回答表!E369,IF([14]回答表!AA47="●",[14]回答表!E386,""))</f>
        <v/>
      </c>
      <c r="BK227" s="151"/>
      <c r="BL227" s="151"/>
      <c r="BM227" s="152"/>
      <c r="BN227" s="150" t="str">
        <f>IF([14]回答表!X47="●",[14]回答表!E370,IF([14]回答表!AA47="●",[14]回答表!E387,""))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IF([14]回答表!AD47="●","●","")</f>
        <v/>
      </c>
      <c r="O236" s="131"/>
      <c r="P236" s="131"/>
      <c r="Q236" s="132"/>
      <c r="R236" s="119"/>
      <c r="S236" s="119"/>
      <c r="T236" s="119"/>
      <c r="U236" s="133" t="str">
        <f>IF([14]回答表!AD47="●",[14]回答表!B392,"")</f>
        <v/>
      </c>
      <c r="V236" s="134"/>
      <c r="W236" s="134"/>
      <c r="X236" s="134"/>
      <c r="Y236" s="134"/>
      <c r="Z236" s="134"/>
      <c r="AA236" s="134"/>
      <c r="AB236" s="134"/>
      <c r="AC236" s="134"/>
      <c r="AD236" s="134"/>
      <c r="AE236" s="134"/>
      <c r="AF236" s="134"/>
      <c r="AG236" s="134"/>
      <c r="AH236" s="134"/>
      <c r="AI236" s="134"/>
      <c r="AJ236" s="135"/>
      <c r="AK236" s="259"/>
      <c r="AL236" s="259"/>
      <c r="AM236" s="133" t="str">
        <f>IF([14]回答表!AD47="●",[14]回答表!B398,"")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IF([14]回答表!X48="●","●","")</f>
        <v/>
      </c>
      <c r="O248" s="131"/>
      <c r="P248" s="131"/>
      <c r="Q248" s="132"/>
      <c r="R248" s="119"/>
      <c r="S248" s="119"/>
      <c r="T248" s="119"/>
      <c r="U248" s="133" t="str">
        <f>IF([14]回答表!X48="●",[14]回答表!B411,IF([14]回答表!AA48="●",[14]回答表!B425,""))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IF([14]回答表!X48="●",[14]回答表!BC418,IF([14]回答表!AA48="●",[14]回答表!BC432,""))</f>
        <v/>
      </c>
      <c r="AR248" s="272"/>
      <c r="AS248" s="272"/>
      <c r="AT248" s="272"/>
      <c r="AU248" s="273" t="s">
        <v>73</v>
      </c>
      <c r="AV248" s="274"/>
      <c r="AW248" s="274"/>
      <c r="AX248" s="275"/>
      <c r="AY248" s="272" t="str">
        <f>IF([14]回答表!X48="●",[14]回答表!BC423,IF([14]回答表!AA48="●",[14]回答表!BC437,""))</f>
        <v/>
      </c>
      <c r="AZ248" s="272"/>
      <c r="BA248" s="272"/>
      <c r="BB248" s="272"/>
      <c r="BC248" s="120"/>
      <c r="BD248" s="109"/>
      <c r="BE248" s="109"/>
      <c r="BF248" s="138" t="str">
        <f>IF([14]回答表!X48="●",[14]回答表!S417,IF([14]回答表!AA48="●",[14]回答表!S431,""))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IF([14]回答表!X48="●",[14]回答表!BC419,IF([14]回答表!AA48="●",[14]回答表!BC433,""))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IF([14]回答表!X48="●",[14]回答表!V417,IF([14]回答表!AA48="●",[14]回答表!V431,""))</f>
        <v/>
      </c>
      <c r="BG251" s="151"/>
      <c r="BH251" s="151"/>
      <c r="BI251" s="151"/>
      <c r="BJ251" s="150" t="str">
        <f>IF([14]回答表!X48="●",[14]回答表!V418,IF([14]回答表!AA48="●",[14]回答表!V432,""))</f>
        <v/>
      </c>
      <c r="BK251" s="151"/>
      <c r="BL251" s="151"/>
      <c r="BM251" s="152"/>
      <c r="BN251" s="150" t="str">
        <f>IF([14]回答表!X48="●",[14]回答表!V419,IF([14]回答表!AA48="●",[14]回答表!V433,""))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IF([14]回答表!X48="●",[14]回答表!BC420,IF([14]回答表!AA48="●",[14]回答表!BC434,""))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IF([14]回答表!X48="●",[14]回答表!BC424,IF([14]回答表!AA48="●",[14]回答表!BC438,""))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IF([14]回答表!X48="●",[14]回答表!BC421,IF([14]回答表!AA48="●",[14]回答表!BC435,""))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IF([14]回答表!X48="●",[14]回答表!BC422,IF([14]回答表!AA48="●",[14]回答表!BC436,""))</f>
        <v/>
      </c>
      <c r="AR256" s="272"/>
      <c r="AS256" s="272"/>
      <c r="AT256" s="272"/>
      <c r="AU256" s="224" t="s">
        <v>79</v>
      </c>
      <c r="AV256" s="225"/>
      <c r="AW256" s="225"/>
      <c r="AX256" s="226"/>
      <c r="AY256" s="282" t="str">
        <f>IF([14]回答表!X48="●",[14]回答表!BC425,IF([14]回答表!AA48="●",[14]回答表!BC439,""))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IF([14]回答表!AD48="●","●","")</f>
        <v/>
      </c>
      <c r="O260" s="131"/>
      <c r="P260" s="131"/>
      <c r="Q260" s="132"/>
      <c r="R260" s="119"/>
      <c r="S260" s="119"/>
      <c r="T260" s="119"/>
      <c r="U260" s="133" t="str">
        <f>IF([14]回答表!AD48="●",[14]回答表!B439,"")</f>
        <v/>
      </c>
      <c r="V260" s="134"/>
      <c r="W260" s="134"/>
      <c r="X260" s="134"/>
      <c r="Y260" s="134"/>
      <c r="Z260" s="134"/>
      <c r="AA260" s="134"/>
      <c r="AB260" s="134"/>
      <c r="AC260" s="134"/>
      <c r="AD260" s="134"/>
      <c r="AE260" s="134"/>
      <c r="AF260" s="134"/>
      <c r="AG260" s="134"/>
      <c r="AH260" s="134"/>
      <c r="AI260" s="134"/>
      <c r="AJ260" s="135"/>
      <c r="AK260" s="183"/>
      <c r="AL260" s="183"/>
      <c r="AM260" s="133" t="str">
        <f>IF([14]回答表!AD48="●",[14]回答表!B445,"")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IF([14]回答表!X49="●","●","")</f>
        <v/>
      </c>
      <c r="O271" s="131"/>
      <c r="P271" s="131"/>
      <c r="Q271" s="132"/>
      <c r="R271" s="119"/>
      <c r="S271" s="119"/>
      <c r="T271" s="119"/>
      <c r="U271" s="133" t="str">
        <f>IF([14]回答表!X49="●",[14]回答表!B458,IF([14]回答表!AA49="●",[14]回答表!B475,""))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IF([14]回答表!X49="●",[14]回答表!B468,IF([14]回答表!AA49="●",[14]回答表!B485,""))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IF([14]回答表!X49="●",[14]回答表!G464,IF([14]回答表!AA49="●",[14]回答表!G481,""))</f>
        <v/>
      </c>
      <c r="AN273" s="83"/>
      <c r="AO273" s="83"/>
      <c r="AP273" s="83"/>
      <c r="AQ273" s="83"/>
      <c r="AR273" s="83"/>
      <c r="AS273" s="83"/>
      <c r="AT273" s="153"/>
      <c r="AU273" s="82" t="str">
        <f>IF([14]回答表!X49="●",[14]回答表!G465,IF([14]回答表!AA49="●",[14]回答表!G482,""))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IF([14]回答表!X49="●",[14]回答表!E468,IF([14]回答表!AA49="●",[14]回答表!E485,""))</f>
        <v/>
      </c>
      <c r="BG274" s="151"/>
      <c r="BH274" s="151"/>
      <c r="BI274" s="151"/>
      <c r="BJ274" s="150" t="str">
        <f>IF([14]回答表!X49="●",[14]回答表!E469,IF([14]回答表!AA49="●",[14]回答表!E486,""))</f>
        <v/>
      </c>
      <c r="BK274" s="151"/>
      <c r="BL274" s="151"/>
      <c r="BM274" s="152"/>
      <c r="BN274" s="150" t="str">
        <f>IF([14]回答表!X49="●",[14]回答表!E470,IF([14]回答表!AA49="●",[14]回答表!E487,""))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IF([14]回答表!AD49="●","●","")</f>
        <v/>
      </c>
      <c r="O283" s="131"/>
      <c r="P283" s="131"/>
      <c r="Q283" s="132"/>
      <c r="R283" s="119"/>
      <c r="S283" s="119"/>
      <c r="T283" s="119"/>
      <c r="U283" s="133" t="str">
        <f>IF([14]回答表!AD49="●",[14]回答表!B492,"")</f>
        <v/>
      </c>
      <c r="V283" s="134"/>
      <c r="W283" s="134"/>
      <c r="X283" s="134"/>
      <c r="Y283" s="134"/>
      <c r="Z283" s="134"/>
      <c r="AA283" s="134"/>
      <c r="AB283" s="134"/>
      <c r="AC283" s="134"/>
      <c r="AD283" s="134"/>
      <c r="AE283" s="134"/>
      <c r="AF283" s="134"/>
      <c r="AG283" s="134"/>
      <c r="AH283" s="134"/>
      <c r="AI283" s="134"/>
      <c r="AJ283" s="135"/>
      <c r="AK283" s="136"/>
      <c r="AL283" s="136"/>
      <c r="AM283" s="133" t="str">
        <f>IF([14]回答表!AD49="●",[14]回答表!B498,"")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IF([14]回答表!R50="●",[14]回答表!B511,"")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912F6-3FEA-4757-AA50-18726CCD8C6E}">
  <sheetPr>
    <pageSetUpPr fitToPage="1"/>
  </sheetPr>
  <dimension ref="A1:CN315"/>
  <sheetViews>
    <sheetView showZeros="0" view="pageBreakPreview" zoomScale="60" zoomScaleNormal="55" workbookViewId="0">
      <selection activeCell="R32" sqref="R32:BB3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IF(COUNTIF([15]回答表!K15,"*")&gt;0,[15]回答表!K15,"")</f>
        <v>由利本荘市</v>
      </c>
      <c r="D11" s="8"/>
      <c r="E11" s="8"/>
      <c r="F11" s="8"/>
      <c r="G11" s="8"/>
      <c r="H11" s="8"/>
      <c r="I11" s="8"/>
      <c r="J11" s="8"/>
      <c r="K11" s="8"/>
      <c r="L11" s="8"/>
      <c r="M11" s="8"/>
      <c r="N11" s="8"/>
      <c r="O11" s="8"/>
      <c r="P11" s="8"/>
      <c r="Q11" s="8"/>
      <c r="R11" s="8"/>
      <c r="S11" s="8"/>
      <c r="T11" s="8"/>
      <c r="U11" s="22" t="str">
        <f>IF(COUNTIF([15]回答表!F17,"*")&gt;0,[15]回答表!F17,"")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IF(COUNTIF([15]回答表!W17,"*")&gt;0,[15]回答表!W17,"")</f>
        <v>老人短期入所施設</v>
      </c>
      <c r="AP11" s="10"/>
      <c r="AQ11" s="10"/>
      <c r="AR11" s="10"/>
      <c r="AS11" s="10"/>
      <c r="AT11" s="10"/>
      <c r="AU11" s="10"/>
      <c r="AV11" s="10"/>
      <c r="AW11" s="10"/>
      <c r="AX11" s="10"/>
      <c r="AY11" s="10"/>
      <c r="AZ11" s="10"/>
      <c r="BA11" s="10"/>
      <c r="BB11" s="10"/>
      <c r="BC11" s="10"/>
      <c r="BD11" s="10"/>
      <c r="BE11" s="10"/>
      <c r="BF11" s="11"/>
      <c r="BG11" s="21" t="str">
        <f>IF(COUNTIF([15]回答表!F19,"*")&gt;0,[15]回答表!F19,"")</f>
        <v>介護サービス事業特別会計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IF([15]回答表!R43="●","●","")</f>
        <v/>
      </c>
      <c r="E24" s="80"/>
      <c r="F24" s="80"/>
      <c r="G24" s="80"/>
      <c r="H24" s="80"/>
      <c r="I24" s="80"/>
      <c r="J24" s="81"/>
      <c r="K24" s="79" t="str">
        <f>IF([15]回答表!R44="●","●","")</f>
        <v/>
      </c>
      <c r="L24" s="80"/>
      <c r="M24" s="80"/>
      <c r="N24" s="80"/>
      <c r="O24" s="80"/>
      <c r="P24" s="80"/>
      <c r="Q24" s="81"/>
      <c r="R24" s="79" t="str">
        <f>IF([15]回答表!R45="●","●","")</f>
        <v/>
      </c>
      <c r="S24" s="80"/>
      <c r="T24" s="80"/>
      <c r="U24" s="80"/>
      <c r="V24" s="80"/>
      <c r="W24" s="80"/>
      <c r="X24" s="81"/>
      <c r="Y24" s="79" t="str">
        <f>IF([15]回答表!R46="●","●","")</f>
        <v>●</v>
      </c>
      <c r="Z24" s="80"/>
      <c r="AA24" s="80"/>
      <c r="AB24" s="80"/>
      <c r="AC24" s="80"/>
      <c r="AD24" s="80"/>
      <c r="AE24" s="81"/>
      <c r="AF24" s="79" t="str">
        <f>IF([15]回答表!R47="●","●","")</f>
        <v/>
      </c>
      <c r="AG24" s="80"/>
      <c r="AH24" s="80"/>
      <c r="AI24" s="80"/>
      <c r="AJ24" s="80"/>
      <c r="AK24" s="80"/>
      <c r="AL24" s="81"/>
      <c r="AM24" s="79" t="str">
        <f>IF([15]回答表!R48="●","●","")</f>
        <v/>
      </c>
      <c r="AN24" s="80"/>
      <c r="AO24" s="80"/>
      <c r="AP24" s="80"/>
      <c r="AQ24" s="80"/>
      <c r="AR24" s="80"/>
      <c r="AS24" s="81"/>
      <c r="AT24" s="79" t="str">
        <f>IF([15]回答表!R49="●","●","")</f>
        <v/>
      </c>
      <c r="AU24" s="80"/>
      <c r="AV24" s="80"/>
      <c r="AW24" s="80"/>
      <c r="AX24" s="80"/>
      <c r="AY24" s="80"/>
      <c r="AZ24" s="81"/>
      <c r="BA24" s="68"/>
      <c r="BB24" s="82" t="str">
        <f>IF([15]回答表!R50="●","●","")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IF([15]回答表!X43="●","●","")</f>
        <v/>
      </c>
      <c r="O36" s="131"/>
      <c r="P36" s="131"/>
      <c r="Q36" s="132"/>
      <c r="R36" s="119"/>
      <c r="S36" s="119"/>
      <c r="T36" s="119"/>
      <c r="U36" s="133" t="str">
        <f>IF([15]回答表!X43="●",[15]回答表!B59,IF([15]回答表!AA43="●",[15]回答表!B79,""))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IF([15]回答表!X43="●",[15]回答表!S65,IF([15]回答表!AA43="●",[15]回答表!S85,""))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IF([15]回答表!X43="●",[15]回答表!G65,IF([15]回答表!AA43="●",[15]回答表!G85,""))</f>
        <v/>
      </c>
      <c r="AN38" s="83"/>
      <c r="AO38" s="83"/>
      <c r="AP38" s="83"/>
      <c r="AQ38" s="83"/>
      <c r="AR38" s="83"/>
      <c r="AS38" s="83"/>
      <c r="AT38" s="153"/>
      <c r="AU38" s="82" t="str">
        <f>IF([15]回答表!X43="●",[15]回答表!G66,IF([15]回答表!AA43="●",[15]回答表!G86,""))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IF([15]回答表!X43="●",[15]回答表!V65,IF([15]回答表!AA43="●",[15]回答表!V85,""))</f>
        <v/>
      </c>
      <c r="BG39" s="16"/>
      <c r="BH39" s="16"/>
      <c r="BI39" s="17"/>
      <c r="BJ39" s="150" t="str">
        <f>IF([15]回答表!X43="●",[15]回答表!V66,IF([15]回答表!AA43="●",[15]回答表!V86,""))</f>
        <v/>
      </c>
      <c r="BK39" s="16"/>
      <c r="BL39" s="16"/>
      <c r="BM39" s="17"/>
      <c r="BN39" s="150" t="str">
        <f>IF([15]回答表!X43="●",[15]回答表!V67,IF([15]回答表!AA43="●",[15]回答表!V87,""))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IF([15]回答表!X43="●",[15]回答表!O71,IF([15]回答表!AA43="●",[15]回答表!O91,""))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IF([15]回答表!X43="●",[15]回答表!O72,IF([15]回答表!AA43="●",[15]回答表!O92,""))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IF([15]回答表!X43="●",[15]回答表!O73,IF([15]回答表!AA43="●",[15]回答表!O93,""))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IF([15]回答表!X43="●",[15]回答表!O74,IF([15]回答表!AA43="●",[15]回答表!O94,""))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IF([15]回答表!X43="●",[15]回答表!AG71,IF([15]回答表!AA43="●",[15]回答表!AG91,""))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IF([15]回答表!X43="●",[15]回答表!AG72,IF([15]回答表!AA43="●",[15]回答表!AG92,""))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IF([15]回答表!AD43="●","●","")</f>
        <v/>
      </c>
      <c r="O51" s="131"/>
      <c r="P51" s="131"/>
      <c r="Q51" s="132"/>
      <c r="R51" s="119"/>
      <c r="S51" s="119"/>
      <c r="T51" s="119"/>
      <c r="U51" s="133" t="str">
        <f>IF([15]回答表!AD43="●",[15]回答表!B99,"")</f>
        <v/>
      </c>
      <c r="V51" s="134"/>
      <c r="W51" s="134"/>
      <c r="X51" s="134"/>
      <c r="Y51" s="134"/>
      <c r="Z51" s="134"/>
      <c r="AA51" s="134"/>
      <c r="AB51" s="134"/>
      <c r="AC51" s="134"/>
      <c r="AD51" s="134"/>
      <c r="AE51" s="134"/>
      <c r="AF51" s="134"/>
      <c r="AG51" s="134"/>
      <c r="AH51" s="134"/>
      <c r="AI51" s="134"/>
      <c r="AJ51" s="135"/>
      <c r="AK51" s="183"/>
      <c r="AL51" s="183"/>
      <c r="AM51" s="133" t="str">
        <f>IF([15]回答表!AD43="●",[15]回答表!B104,"")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IF([15]回答表!X44="●","●","")</f>
        <v/>
      </c>
      <c r="O62" s="131"/>
      <c r="P62" s="131"/>
      <c r="Q62" s="132"/>
      <c r="R62" s="119"/>
      <c r="S62" s="119"/>
      <c r="T62" s="119"/>
      <c r="U62" s="133" t="str">
        <f>IF([15]回答表!X44="●",[15]回答表!B115,IF([15]回答表!AA44="●",[15]回答表!B127,""))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IF([15]回答表!X44="●",[15]回答表!S121,IF([15]回答表!AA44="●",[15]回答表!S133,""))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IF([15]回答表!X44="●",[15]回答表!J121,IF([15]回答表!AA44="●",[15]回答表!J133,""))</f>
        <v/>
      </c>
      <c r="AN65" s="83"/>
      <c r="AO65" s="83"/>
      <c r="AP65" s="83"/>
      <c r="AQ65" s="83"/>
      <c r="AR65" s="83"/>
      <c r="AS65" s="83"/>
      <c r="AT65" s="153"/>
      <c r="AU65" s="82" t="str">
        <f>IF([15]回答表!X44="●",[15]回答表!J122,IF([15]回答表!AA44="●",[15]回答表!J134,""))</f>
        <v/>
      </c>
      <c r="AV65" s="83"/>
      <c r="AW65" s="83"/>
      <c r="AX65" s="83"/>
      <c r="AY65" s="83"/>
      <c r="AZ65" s="83"/>
      <c r="BA65" s="83"/>
      <c r="BB65" s="153"/>
      <c r="BC65" s="120"/>
      <c r="BD65" s="109"/>
      <c r="BE65" s="109"/>
      <c r="BF65" s="150" t="str">
        <f>IF([15]回答表!X44="●",[15]回答表!V121,IF([15]回答表!AA44="●",[15]回答表!V133,""))</f>
        <v/>
      </c>
      <c r="BG65" s="151"/>
      <c r="BH65" s="151"/>
      <c r="BI65" s="151"/>
      <c r="BJ65" s="150" t="str">
        <f>IF([15]回答表!X44="●",[15]回答表!V122,IF([15]回答表!AA44="●",[15]回答表!V134,""))</f>
        <v/>
      </c>
      <c r="BK65" s="151"/>
      <c r="BL65" s="151"/>
      <c r="BM65" s="151"/>
      <c r="BN65" s="150" t="str">
        <f>IF([15]回答表!X44="●",[15]回答表!V123,IF([15]回答表!AA44="●",[15]回答表!V135,""))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IF([15]回答表!AD44="●","●","")</f>
        <v/>
      </c>
      <c r="O74" s="131"/>
      <c r="P74" s="131"/>
      <c r="Q74" s="132"/>
      <c r="R74" s="119"/>
      <c r="S74" s="119"/>
      <c r="T74" s="119"/>
      <c r="U74" s="133" t="str">
        <f>IF([15]回答表!AD44="●",[15]回答表!B140,"")</f>
        <v/>
      </c>
      <c r="V74" s="134"/>
      <c r="W74" s="134"/>
      <c r="X74" s="134"/>
      <c r="Y74" s="134"/>
      <c r="Z74" s="134"/>
      <c r="AA74" s="134"/>
      <c r="AB74" s="134"/>
      <c r="AC74" s="134"/>
      <c r="AD74" s="134"/>
      <c r="AE74" s="134"/>
      <c r="AF74" s="134"/>
      <c r="AG74" s="134"/>
      <c r="AH74" s="134"/>
      <c r="AI74" s="134"/>
      <c r="AJ74" s="135"/>
      <c r="AK74" s="183"/>
      <c r="AL74" s="183"/>
      <c r="AM74" s="133" t="str">
        <f>IF([15]回答表!AD44="●",[15]回答表!B146,"")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IF([15]回答表!F17="水道事業",IF([15]回答表!X45="●","●",""),"")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IF([15]回答表!F17="水道事業",IF([15]回答表!X45="●",[15]回答表!B158,IF([15]回答表!AA45="●",[15]回答表!B223,"")),"")</f>
        <v/>
      </c>
      <c r="AN86" s="201"/>
      <c r="AO86" s="201"/>
      <c r="AP86" s="201"/>
      <c r="AQ86" s="201"/>
      <c r="AR86" s="201"/>
      <c r="AS86" s="201"/>
      <c r="AT86" s="201"/>
      <c r="AU86" s="201"/>
      <c r="AV86" s="201"/>
      <c r="AW86" s="201"/>
      <c r="AX86" s="201"/>
      <c r="AY86" s="201"/>
      <c r="AZ86" s="201"/>
      <c r="BA86" s="201"/>
      <c r="BB86" s="201"/>
      <c r="BC86" s="202"/>
      <c r="BD86" s="109"/>
      <c r="BE86" s="109"/>
      <c r="BF86" s="138" t="str">
        <f>IF([15]回答表!F17="水道事業",IF([15]回答表!X45="●",[15]回答表!B212,IF([15]回答表!AA45="●",[15]回答表!B278,"")),"")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IF([15]回答表!F17="水道事業",IF([15]回答表!X45="●",[15]回答表!J166,IF([15]回答表!AA45="●",[15]回答表!J231,"")),"")</f>
        <v/>
      </c>
      <c r="V88" s="83"/>
      <c r="W88" s="83"/>
      <c r="X88" s="83"/>
      <c r="Y88" s="83"/>
      <c r="Z88" s="83"/>
      <c r="AA88" s="83"/>
      <c r="AB88" s="153"/>
      <c r="AC88" s="82" t="str">
        <f>IF([15]回答表!F17="水道事業",IF([15]回答表!X45="●",[15]回答表!J173,IF([15]回答表!AA45="●",[15]回答表!J238,"")),"")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IF([15]回答表!F17="水道事業",IF([15]回答表!X45="●",[15]回答表!E212,IF([15]回答表!AA45="●",[15]回答表!E278,"")),"")</f>
        <v/>
      </c>
      <c r="BG89" s="151"/>
      <c r="BH89" s="151"/>
      <c r="BI89" s="151"/>
      <c r="BJ89" s="150" t="str">
        <f>IF([15]回答表!F17="水道事業",IF([15]回答表!X45="●",[15]回答表!E213,IF([15]回答表!AA45="●",[15]回答表!E279,"")),"")</f>
        <v/>
      </c>
      <c r="BK89" s="151"/>
      <c r="BL89" s="151"/>
      <c r="BM89" s="151"/>
      <c r="BN89" s="150" t="str">
        <f>IF([15]回答表!F17="水道事業",IF([15]回答表!X45="●",[15]回答表!E214,IF([15]回答表!AA45="●",[15]回答表!E280,"")),"")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IF([15]回答表!F17="水道事業",IF([15]回答表!AA45="●","●",""),"")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IF([15]回答表!F17="水道事業",IF([15]回答表!X45="●",[15]回答表!J176,IF([15]回答表!AA45="●",[15]回答表!J241,"")),"")</f>
        <v/>
      </c>
      <c r="V93" s="83"/>
      <c r="W93" s="83"/>
      <c r="X93" s="83"/>
      <c r="Y93" s="83"/>
      <c r="Z93" s="83"/>
      <c r="AA93" s="83"/>
      <c r="AB93" s="153"/>
      <c r="AC93" s="82" t="str">
        <f>IF([15]回答表!F17="水道事業",IF([15]回答表!X45="●",[15]回答表!J180,IF([15]回答表!AA45="●",[15]回答表!J245,"")),"")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IF([15]回答表!F17="水道事業",IF([15]回答表!AD45="●","●",""),"")</f>
        <v/>
      </c>
      <c r="O98" s="131"/>
      <c r="P98" s="131"/>
      <c r="Q98" s="132"/>
      <c r="R98" s="119"/>
      <c r="S98" s="119"/>
      <c r="T98" s="119"/>
      <c r="U98" s="133" t="str">
        <f>IF([15]回答表!F17="水道事業",IF([15]回答表!AD45="●",[15]回答表!B289,""),"")</f>
        <v/>
      </c>
      <c r="V98" s="134"/>
      <c r="W98" s="134"/>
      <c r="X98" s="134"/>
      <c r="Y98" s="134"/>
      <c r="Z98" s="134"/>
      <c r="AA98" s="134"/>
      <c r="AB98" s="134"/>
      <c r="AC98" s="134"/>
      <c r="AD98" s="134"/>
      <c r="AE98" s="134"/>
      <c r="AF98" s="134"/>
      <c r="AG98" s="134"/>
      <c r="AH98" s="134"/>
      <c r="AI98" s="134"/>
      <c r="AJ98" s="135"/>
      <c r="AK98" s="183"/>
      <c r="AL98" s="183"/>
      <c r="AM98" s="133" t="str">
        <f>IF([15]回答表!F17="水道事業",IF([15]回答表!AD45="●",[15]回答表!B295,""),"")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IF([15]回答表!F17="簡易水道事業",IF([15]回答表!X45="●",[15]回答表!B158,IF([15]回答表!AA45="●",[15]回答表!B223,"")),"")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IF([15]回答表!F17="簡易水道事業",IF([15]回答表!X45="●",[15]回答表!B212,IF([15]回答表!AA45="●",[15]回答表!B278,"")),"")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IF([15]回答表!F17="簡易水道事業",IF([15]回答表!X45="●","●",""),"")</f>
        <v/>
      </c>
      <c r="O112" s="131"/>
      <c r="P112" s="131"/>
      <c r="Q112" s="132"/>
      <c r="R112" s="119"/>
      <c r="S112" s="119"/>
      <c r="T112" s="119"/>
      <c r="U112" s="82" t="str">
        <f>IF([15]回答表!F17="簡易水道事業",IF([15]回答表!X45="●",[15]回答表!Y185,IF([15]回答表!AA45="●",[15]回答表!Y251,"")),"")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IF([15]回答表!F17="簡易水道事業",IF([15]回答表!X45="●",[15]回答表!E212,IF([15]回答表!AA45="●",[15]回答表!E278,"")),"")</f>
        <v/>
      </c>
      <c r="BG113" s="151"/>
      <c r="BH113" s="151"/>
      <c r="BI113" s="151"/>
      <c r="BJ113" s="150" t="str">
        <f>IF([15]回答表!F17="簡易水道事業",IF([15]回答表!X45="●",[15]回答表!E213,IF([15]回答表!AA45="●",[15]回答表!E279,"")),"")</f>
        <v/>
      </c>
      <c r="BK113" s="151"/>
      <c r="BL113" s="151"/>
      <c r="BM113" s="151"/>
      <c r="BN113" s="150" t="str">
        <f>IF([15]回答表!F17="簡易水道事業",IF([15]回答表!X45="●",[15]回答表!E214,IF([15]回答表!AA45="●",[15]回答表!E280,"")),"")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IF([15]回答表!F17="簡易水道事業",IF([15]回答表!X45="●",[15]回答表!Y186,IF([15]回答表!AA45="●",[15]回答表!Y252,"")),"")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IF([15]回答表!F17="簡易水道事業",IF([15]回答表!AA45="●","●",""),"")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IF([15]回答表!F17="簡易水道事業",IF([15]回答表!X45="●",[15]回答表!Y187,IF([15]回答表!AA45="●",[15]回答表!Y253,"")),"")</f>
        <v/>
      </c>
      <c r="V122" s="83"/>
      <c r="W122" s="83"/>
      <c r="X122" s="83"/>
      <c r="Y122" s="83"/>
      <c r="Z122" s="83"/>
      <c r="AA122" s="83"/>
      <c r="AB122" s="83"/>
      <c r="AC122" s="83"/>
      <c r="AD122" s="83"/>
      <c r="AE122" s="83"/>
      <c r="AF122" s="83"/>
      <c r="AG122" s="83"/>
      <c r="AH122" s="83"/>
      <c r="AI122" s="83"/>
      <c r="AJ122" s="153"/>
      <c r="AK122" s="68"/>
      <c r="AL122" s="68"/>
      <c r="AM122" s="233" t="str">
        <f>IF([15]回答表!F17="簡易水道事業",IF([15]回答表!X45="●",[15]回答表!Y189,IF([15]回答表!AA45="●",[15]回答表!Y255,"")),"")</f>
        <v/>
      </c>
      <c r="AN122" s="233"/>
      <c r="AO122" s="233"/>
      <c r="AP122" s="233"/>
      <c r="AQ122" s="233"/>
      <c r="AR122" s="233"/>
      <c r="AS122" s="233" t="str">
        <f>IF([15]回答表!F17="簡易水道事業",IF([15]回答表!X45="●",[15]回答表!Y190,IF([15]回答表!AA45="●",[15]回答表!Y256,"")),"")</f>
        <v/>
      </c>
      <c r="AT122" s="233"/>
      <c r="AU122" s="233"/>
      <c r="AV122" s="233"/>
      <c r="AW122" s="233"/>
      <c r="AX122" s="233"/>
      <c r="AY122" s="233" t="str">
        <f>IF([15]回答表!F17="簡易水道事業",IF([15]回答表!X45="●",[15]回答表!Y191,IF([15]回答表!AA45="●",[15]回答表!Y257,"")),"")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IF([15]回答表!F17="簡易水道事業",IF([15]回答表!AD45="●","●",""),"")</f>
        <v/>
      </c>
      <c r="O127" s="131"/>
      <c r="P127" s="131"/>
      <c r="Q127" s="132"/>
      <c r="R127" s="119"/>
      <c r="S127" s="119"/>
      <c r="T127" s="119"/>
      <c r="U127" s="133" t="str">
        <f>IF([15]回答表!F17="簡易水道事業",IF([15]回答表!AD45="●",[15]回答表!B289,""),"")</f>
        <v/>
      </c>
      <c r="V127" s="134"/>
      <c r="W127" s="134"/>
      <c r="X127" s="134"/>
      <c r="Y127" s="134"/>
      <c r="Z127" s="134"/>
      <c r="AA127" s="134"/>
      <c r="AB127" s="134"/>
      <c r="AC127" s="134"/>
      <c r="AD127" s="134"/>
      <c r="AE127" s="134"/>
      <c r="AF127" s="134"/>
      <c r="AG127" s="134"/>
      <c r="AH127" s="134"/>
      <c r="AI127" s="134"/>
      <c r="AJ127" s="135"/>
      <c r="AK127" s="183"/>
      <c r="AL127" s="183"/>
      <c r="AM127" s="133" t="str">
        <f>IF([15]回答表!F17="簡易水道事業",IF([15]回答表!AD45="●",[15]回答表!B295,""),"")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IF([15]回答表!F17="下水道事業",IF([15]回答表!X45="●","●",""),"")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IF([15]回答表!F17="下水道事業",IF([15]回答表!X45="●",[15]回答表!B158,IF([15]回答表!AA45="●",[15]回答表!B223,"")),"")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IF([15]回答表!F17="下水道事業",IF([15]回答表!X45="●",[15]回答表!B212,IF([15]回答表!AA45="●",[15]回答表!B278,"")),"")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IF([15]回答表!F17="下水道事業",IF([15]回答表!X45="●",[15]回答表!Y193,IF([15]回答表!AA45="●",[15]回答表!Y259,"")),"")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IF([15]回答表!F17="下水道事業",IF([15]回答表!X45="●",[15]回答表!E212,IF([15]回答表!AA45="●",[15]回答表!E278,"")),"")</f>
        <v/>
      </c>
      <c r="BG142" s="151"/>
      <c r="BH142" s="151"/>
      <c r="BI142" s="151"/>
      <c r="BJ142" s="150" t="str">
        <f>IF([15]回答表!F17="下水道事業",IF([15]回答表!X45="●",[15]回答表!E213,IF([15]回答表!AA45="●",[15]回答表!E279,"")),"")</f>
        <v/>
      </c>
      <c r="BK142" s="151"/>
      <c r="BL142" s="151"/>
      <c r="BM142" s="151"/>
      <c r="BN142" s="150" t="str">
        <f>IF([15]回答表!F17="下水道事業",IF([15]回答表!X45="●",[15]回答表!E214,IF([15]回答表!AA45="●",[15]回答表!E280,"")),"")</f>
        <v/>
      </c>
      <c r="BO142" s="151"/>
      <c r="BP142" s="151"/>
      <c r="BQ142" s="152"/>
      <c r="BR142" s="112"/>
      <c r="BX142" s="200" t="str">
        <f>IF([15]回答表!AQ20="下水道事業",IF([15]回答表!BI48="○",[15]回答表!AM161,IF([15]回答表!BL48="○",[15]回答表!AM226,"")),"")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IF([15]回答表!F17="下水道事業",IF([15]回答表!X45="●",[15]回答表!Y195,IF([15]回答表!AA45="●",[15]回答表!Y261,"")),"")</f>
        <v/>
      </c>
      <c r="V147" s="83"/>
      <c r="W147" s="83"/>
      <c r="X147" s="83"/>
      <c r="Y147" s="83"/>
      <c r="Z147" s="83"/>
      <c r="AA147" s="83"/>
      <c r="AB147" s="153"/>
      <c r="AC147" s="82" t="str">
        <f>IF([15]回答表!F17="下水道事業",IF([15]回答表!X45="●",[15]回答表!Y196,IF([15]回答表!AA45="●",[15]回答表!Y262,"")),"")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IF([15]回答表!F17="下水道事業",IF([15]回答表!X45="●",[15]回答表!Y198,IF([15]回答表!AA45="●",[15]回答表!Y264,"")),"")</f>
        <v/>
      </c>
      <c r="V153" s="83"/>
      <c r="W153" s="83"/>
      <c r="X153" s="83"/>
      <c r="Y153" s="83"/>
      <c r="Z153" s="83"/>
      <c r="AA153" s="83"/>
      <c r="AB153" s="153"/>
      <c r="AC153" s="82" t="str">
        <f>IF([15]回答表!F17="下水道事業",IF([15]回答表!X45="●",[15]回答表!Y199,IF([15]回答表!AA45="●",[15]回答表!Y265,"")),"")</f>
        <v/>
      </c>
      <c r="AD153" s="83"/>
      <c r="AE153" s="83"/>
      <c r="AF153" s="83"/>
      <c r="AG153" s="83"/>
      <c r="AH153" s="83"/>
      <c r="AI153" s="83"/>
      <c r="AJ153" s="153"/>
      <c r="AK153" s="82" t="str">
        <f>IF([15]回答表!F17="下水道事業",IF([15]回答表!X45="●",[15]回答表!Y200,IF([15]回答表!AA45="●",[15]回答表!Y266,"")),"")</f>
        <v/>
      </c>
      <c r="AL153" s="83"/>
      <c r="AM153" s="83"/>
      <c r="AN153" s="83"/>
      <c r="AO153" s="83"/>
      <c r="AP153" s="83"/>
      <c r="AQ153" s="83"/>
      <c r="AR153" s="153"/>
      <c r="AS153" s="82" t="str">
        <f>IF([15]回答表!F17="下水道事業",IF([15]回答表!X45="●",[15]回答表!Y201,IF([15]回答表!AA45="●",[15]回答表!Y267,"")),"")</f>
        <v/>
      </c>
      <c r="AT153" s="83"/>
      <c r="AU153" s="83"/>
      <c r="AV153" s="83"/>
      <c r="AW153" s="83"/>
      <c r="AX153" s="83"/>
      <c r="AY153" s="83"/>
      <c r="AZ153" s="153"/>
      <c r="BA153" s="82" t="str">
        <f>IF([15]回答表!F17="下水道事業",IF([15]回答表!X45="●",[15]回答表!Y202,IF([15]回答表!AA45="●",[15]回答表!Y268,"")),"")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IF([15]回答表!F17="下水道事業",IF([15]回答表!AA45="●","●",""),"")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IF([15]回答表!F17="下水道事業",IF([15]回答表!X45="●",[15]回答表!Y207,IF([15]回答表!AA45="●",[15]回答表!Y273,"")),"")</f>
        <v/>
      </c>
      <c r="V159" s="83"/>
      <c r="W159" s="83"/>
      <c r="X159" s="83"/>
      <c r="Y159" s="83"/>
      <c r="Z159" s="83"/>
      <c r="AA159" s="83"/>
      <c r="AB159" s="153"/>
      <c r="AC159" s="82" t="str">
        <f>IF([15]回答表!F17="下水道事業",IF([15]回答表!X45="●",[15]回答表!Y208,IF([15]回答表!AA45="●",[15]回答表!Y274,"")),"")</f>
        <v/>
      </c>
      <c r="AD159" s="83"/>
      <c r="AE159" s="83"/>
      <c r="AF159" s="83"/>
      <c r="AG159" s="83"/>
      <c r="AH159" s="83"/>
      <c r="AI159" s="83"/>
      <c r="AJ159" s="153"/>
      <c r="AK159" s="82" t="str">
        <f>IF([15]回答表!F17="下水道事業",IF([15]回答表!X45="●",[15]回答表!Y209,IF([15]回答表!AA45="●",[15]回答表!Y275,"")),"")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IF([15]回答表!F17="下水道事業",IF([15]回答表!AD45="●","●",""),"")</f>
        <v/>
      </c>
      <c r="O164" s="131"/>
      <c r="P164" s="131"/>
      <c r="Q164" s="132"/>
      <c r="R164" s="119"/>
      <c r="S164" s="119"/>
      <c r="T164" s="119"/>
      <c r="U164" s="133" t="str">
        <f>IF([15]回答表!F17="下水道事業",IF([15]回答表!AD45="●",[15]回答表!B289,""),"")</f>
        <v/>
      </c>
      <c r="V164" s="134"/>
      <c r="W164" s="134"/>
      <c r="X164" s="134"/>
      <c r="Y164" s="134"/>
      <c r="Z164" s="134"/>
      <c r="AA164" s="134"/>
      <c r="AB164" s="134"/>
      <c r="AC164" s="134"/>
      <c r="AD164" s="134"/>
      <c r="AE164" s="134"/>
      <c r="AF164" s="134"/>
      <c r="AG164" s="134"/>
      <c r="AH164" s="134"/>
      <c r="AI164" s="134"/>
      <c r="AJ164" s="135"/>
      <c r="AK164" s="183"/>
      <c r="AL164" s="183"/>
      <c r="AM164" s="133" t="str">
        <f>IF([15]回答表!F17="下水道事業",IF([15]回答表!AD45="●",[15]回答表!B295,""),"")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IF([15]回答表!BD17="●",IF([15]回答表!X45="●","●",""),"")</f>
        <v/>
      </c>
      <c r="O176" s="131"/>
      <c r="P176" s="131"/>
      <c r="Q176" s="132"/>
      <c r="R176" s="119"/>
      <c r="S176" s="119"/>
      <c r="T176" s="119"/>
      <c r="U176" s="133" t="str">
        <f>IF([15]回答表!BD17="●",IF([15]回答表!X45="●",[15]回答表!B158,IF([15]回答表!AA45="●",[15]回答表!B223,"")),"")</f>
        <v/>
      </c>
      <c r="V176" s="134"/>
      <c r="W176" s="134"/>
      <c r="X176" s="134"/>
      <c r="Y176" s="134"/>
      <c r="Z176" s="134"/>
      <c r="AA176" s="134"/>
      <c r="AB176" s="134"/>
      <c r="AC176" s="134"/>
      <c r="AD176" s="134"/>
      <c r="AE176" s="134"/>
      <c r="AF176" s="134"/>
      <c r="AG176" s="134"/>
      <c r="AH176" s="134"/>
      <c r="AI176" s="134"/>
      <c r="AJ176" s="135"/>
      <c r="AK176" s="136"/>
      <c r="AL176" s="136"/>
      <c r="AM176" s="138" t="str">
        <f>IF([15]回答表!BD17="●",IF([15]回答表!X45="●",[15]回答表!B212,IF([15]回答表!AA45="●",[15]回答表!B278,"")),"")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IF([15]回答表!BD17="●",IF([15]回答表!X45="●",[15]回答表!E212,IF([15]回答表!AA45="●",[15]回答表!E278,"")),"")</f>
        <v/>
      </c>
      <c r="AN179" s="151"/>
      <c r="AO179" s="151"/>
      <c r="AP179" s="151"/>
      <c r="AQ179" s="150" t="str">
        <f>IF([15]回答表!BD17="●",IF([15]回答表!X45="●",[15]回答表!E213,IF([15]回答表!AA45="●",[15]回答表!E279,"")),"")</f>
        <v/>
      </c>
      <c r="AR179" s="151"/>
      <c r="AS179" s="151"/>
      <c r="AT179" s="151"/>
      <c r="AU179" s="150" t="str">
        <f>IF([15]回答表!BD17="●",IF([15]回答表!X45="●",[15]回答表!E214,IF([15]回答表!AA45="●",[15]回答表!E280,"")),"")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IF([15]回答表!BD17="●",IF([15]回答表!AA45="●","●",""),"")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IF([15]回答表!BD17="●",IF([15]回答表!AD45="●","●",""),"")</f>
        <v/>
      </c>
      <c r="O188" s="131"/>
      <c r="P188" s="131"/>
      <c r="Q188" s="132"/>
      <c r="R188" s="119"/>
      <c r="S188" s="119"/>
      <c r="T188" s="119"/>
      <c r="U188" s="133" t="str">
        <f>IF([15]回答表!BD17="●",IF([15]回答表!AD45="●",[15]回答表!B289,""),"")</f>
        <v/>
      </c>
      <c r="V188" s="134"/>
      <c r="W188" s="134"/>
      <c r="X188" s="134"/>
      <c r="Y188" s="134"/>
      <c r="Z188" s="134"/>
      <c r="AA188" s="134"/>
      <c r="AB188" s="134"/>
      <c r="AC188" s="134"/>
      <c r="AD188" s="134"/>
      <c r="AE188" s="134"/>
      <c r="AF188" s="134"/>
      <c r="AG188" s="134"/>
      <c r="AH188" s="134"/>
      <c r="AI188" s="134"/>
      <c r="AJ188" s="135"/>
      <c r="AK188" s="183"/>
      <c r="AL188" s="183"/>
      <c r="AM188" s="133" t="str">
        <f>IF([15]回答表!BD17="●",IF([15]回答表!AD45="●",[15]回答表!B295,""),"")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IF([15]回答表!X46="●","●","")</f>
        <v>●</v>
      </c>
      <c r="O200" s="131"/>
      <c r="P200" s="131"/>
      <c r="Q200" s="132"/>
      <c r="R200" s="119"/>
      <c r="S200" s="119"/>
      <c r="T200" s="119"/>
      <c r="U200" s="133" t="str">
        <f>IF([15]回答表!X46="●",[15]回答表!B307,IF([15]回答表!AA46="●",[15]回答表!B324,""))</f>
        <v>特別養護老人ホーム「鳥寿苑」は、Ｈ28.4.1に指定管理を開始している。（Ｈ37年度末まで10年間）
特別養護老人ホーム「東光苑」は、Ｈ29.4.1から指定管理を開始している。（Ｈ37年度末まで9年間）
指定管理者は、両施設とも社会福祉法人由愛会であり、運営自体は良好である。</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IF([15]回答表!X46="●",[15]回答表!U313,IF([15]回答表!AA46="●",[15]回答表!U330,""))</f>
        <v>平成</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IF([15]回答表!X46="●",[15]回答表!G313,IF([15]回答表!AA46="●",[15]回答表!G330,""))</f>
        <v xml:space="preserve"> </v>
      </c>
      <c r="AN203" s="83"/>
      <c r="AO203" s="83"/>
      <c r="AP203" s="83"/>
      <c r="AQ203" s="83"/>
      <c r="AR203" s="83"/>
      <c r="AS203" s="83"/>
      <c r="AT203" s="153"/>
      <c r="AU203" s="82" t="str">
        <f>IF([15]回答表!X46="●",[15]回答表!G314,IF([15]回答表!AA46="●",[15]回答表!G331,""))</f>
        <v>●</v>
      </c>
      <c r="AV203" s="83"/>
      <c r="AW203" s="83"/>
      <c r="AX203" s="83"/>
      <c r="AY203" s="83"/>
      <c r="AZ203" s="83"/>
      <c r="BA203" s="83"/>
      <c r="BB203" s="153"/>
      <c r="BC203" s="120"/>
      <c r="BD203" s="109"/>
      <c r="BE203" s="109"/>
      <c r="BF203" s="150">
        <f>IF([15]回答表!X46="●",[15]回答表!X313,IF([15]回答表!AA46="●",[15]回答表!X330,""))</f>
        <v>28</v>
      </c>
      <c r="BG203" s="151"/>
      <c r="BH203" s="151"/>
      <c r="BI203" s="151"/>
      <c r="BJ203" s="150">
        <f>IF([15]回答表!X46="●",[15]回答表!X314,IF([15]回答表!AA46="●",[15]回答表!X331,""))</f>
        <v>4</v>
      </c>
      <c r="BK203" s="151"/>
      <c r="BL203" s="151"/>
      <c r="BM203" s="152"/>
      <c r="BN203" s="150">
        <f>IF([15]回答表!X46="●",[15]回答表!X315,IF([15]回答表!AA46="●",[15]回答表!X332,""))</f>
        <v>1</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IF([15]回答表!AD46="●","●","")</f>
        <v/>
      </c>
      <c r="O212" s="131"/>
      <c r="P212" s="131"/>
      <c r="Q212" s="132"/>
      <c r="R212" s="119"/>
      <c r="S212" s="119"/>
      <c r="T212" s="119"/>
      <c r="U212" s="133" t="str">
        <f>IF([15]回答表!AD46="●",[15]回答表!B337,"")</f>
        <v/>
      </c>
      <c r="V212" s="134"/>
      <c r="W212" s="134"/>
      <c r="X212" s="134"/>
      <c r="Y212" s="134"/>
      <c r="Z212" s="134"/>
      <c r="AA212" s="134"/>
      <c r="AB212" s="134"/>
      <c r="AC212" s="134"/>
      <c r="AD212" s="134"/>
      <c r="AE212" s="134"/>
      <c r="AF212" s="134"/>
      <c r="AG212" s="134"/>
      <c r="AH212" s="134"/>
      <c r="AI212" s="134"/>
      <c r="AJ212" s="135"/>
      <c r="AK212" s="259"/>
      <c r="AL212" s="259"/>
      <c r="AM212" s="133" t="str">
        <f>IF([15]回答表!AD46="●",[15]回答表!B343,"")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IF([15]回答表!X47="●","●","")</f>
        <v/>
      </c>
      <c r="O224" s="131"/>
      <c r="P224" s="131"/>
      <c r="Q224" s="132"/>
      <c r="R224" s="119"/>
      <c r="S224" s="119"/>
      <c r="T224" s="119"/>
      <c r="U224" s="133" t="str">
        <f>IF([15]回答表!X47="●",[15]回答表!B356,IF([15]回答表!AA47="●",[15]回答表!B379,""))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IF([15]回答表!X47="●",[15]回答表!B362,"")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IF([15]回答表!X47="●",[15]回答表!B368,IF([15]回答表!AA47="●",[15]回答表!B385,""))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IF([15]回答表!X47="●",[15]回答表!E368,IF([15]回答表!AA47="●",[15]回答表!E385,""))</f>
        <v/>
      </c>
      <c r="BG227" s="151"/>
      <c r="BH227" s="151"/>
      <c r="BI227" s="151"/>
      <c r="BJ227" s="150" t="str">
        <f>IF([15]回答表!X47="●",[15]回答表!E369,IF([15]回答表!AA47="●",[15]回答表!E386,""))</f>
        <v/>
      </c>
      <c r="BK227" s="151"/>
      <c r="BL227" s="151"/>
      <c r="BM227" s="152"/>
      <c r="BN227" s="150" t="str">
        <f>IF([15]回答表!X47="●",[15]回答表!E370,IF([15]回答表!AA47="●",[15]回答表!E387,""))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IF([15]回答表!AD47="●","●","")</f>
        <v/>
      </c>
      <c r="O236" s="131"/>
      <c r="P236" s="131"/>
      <c r="Q236" s="132"/>
      <c r="R236" s="119"/>
      <c r="S236" s="119"/>
      <c r="T236" s="119"/>
      <c r="U236" s="133" t="str">
        <f>IF([15]回答表!AD47="●",[15]回答表!B392,"")</f>
        <v/>
      </c>
      <c r="V236" s="134"/>
      <c r="W236" s="134"/>
      <c r="X236" s="134"/>
      <c r="Y236" s="134"/>
      <c r="Z236" s="134"/>
      <c r="AA236" s="134"/>
      <c r="AB236" s="134"/>
      <c r="AC236" s="134"/>
      <c r="AD236" s="134"/>
      <c r="AE236" s="134"/>
      <c r="AF236" s="134"/>
      <c r="AG236" s="134"/>
      <c r="AH236" s="134"/>
      <c r="AI236" s="134"/>
      <c r="AJ236" s="135"/>
      <c r="AK236" s="259"/>
      <c r="AL236" s="259"/>
      <c r="AM236" s="133" t="str">
        <f>IF([15]回答表!AD47="●",[15]回答表!B398,"")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IF([15]回答表!X48="●","●","")</f>
        <v/>
      </c>
      <c r="O248" s="131"/>
      <c r="P248" s="131"/>
      <c r="Q248" s="132"/>
      <c r="R248" s="119"/>
      <c r="S248" s="119"/>
      <c r="T248" s="119"/>
      <c r="U248" s="133" t="str">
        <f>IF([15]回答表!X48="●",[15]回答表!B411,IF([15]回答表!AA48="●",[15]回答表!B425,""))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IF([15]回答表!X48="●",[15]回答表!BC418,IF([15]回答表!AA48="●",[15]回答表!BC432,""))</f>
        <v/>
      </c>
      <c r="AR248" s="272"/>
      <c r="AS248" s="272"/>
      <c r="AT248" s="272"/>
      <c r="AU248" s="273" t="s">
        <v>73</v>
      </c>
      <c r="AV248" s="274"/>
      <c r="AW248" s="274"/>
      <c r="AX248" s="275"/>
      <c r="AY248" s="272" t="str">
        <f>IF([15]回答表!X48="●",[15]回答表!BC423,IF([15]回答表!AA48="●",[15]回答表!BC437,""))</f>
        <v/>
      </c>
      <c r="AZ248" s="272"/>
      <c r="BA248" s="272"/>
      <c r="BB248" s="272"/>
      <c r="BC248" s="120"/>
      <c r="BD248" s="109"/>
      <c r="BE248" s="109"/>
      <c r="BF248" s="138" t="str">
        <f>IF([15]回答表!X48="●",[15]回答表!S417,IF([15]回答表!AA48="●",[15]回答表!S431,""))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IF([15]回答表!X48="●",[15]回答表!BC419,IF([15]回答表!AA48="●",[15]回答表!BC433,""))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IF([15]回答表!X48="●",[15]回答表!V417,IF([15]回答表!AA48="●",[15]回答表!V431,""))</f>
        <v/>
      </c>
      <c r="BG251" s="151"/>
      <c r="BH251" s="151"/>
      <c r="BI251" s="151"/>
      <c r="BJ251" s="150" t="str">
        <f>IF([15]回答表!X48="●",[15]回答表!V418,IF([15]回答表!AA48="●",[15]回答表!V432,""))</f>
        <v/>
      </c>
      <c r="BK251" s="151"/>
      <c r="BL251" s="151"/>
      <c r="BM251" s="152"/>
      <c r="BN251" s="150" t="str">
        <f>IF([15]回答表!X48="●",[15]回答表!V419,IF([15]回答表!AA48="●",[15]回答表!V433,""))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IF([15]回答表!X48="●",[15]回答表!BC420,IF([15]回答表!AA48="●",[15]回答表!BC434,""))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IF([15]回答表!X48="●",[15]回答表!BC424,IF([15]回答表!AA48="●",[15]回答表!BC438,""))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IF([15]回答表!X48="●",[15]回答表!BC421,IF([15]回答表!AA48="●",[15]回答表!BC435,""))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IF([15]回答表!X48="●",[15]回答表!BC422,IF([15]回答表!AA48="●",[15]回答表!BC436,""))</f>
        <v/>
      </c>
      <c r="AR256" s="272"/>
      <c r="AS256" s="272"/>
      <c r="AT256" s="272"/>
      <c r="AU256" s="224" t="s">
        <v>79</v>
      </c>
      <c r="AV256" s="225"/>
      <c r="AW256" s="225"/>
      <c r="AX256" s="226"/>
      <c r="AY256" s="282" t="str">
        <f>IF([15]回答表!X48="●",[15]回答表!BC425,IF([15]回答表!AA48="●",[15]回答表!BC439,""))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IF([15]回答表!AD48="●","●","")</f>
        <v/>
      </c>
      <c r="O260" s="131"/>
      <c r="P260" s="131"/>
      <c r="Q260" s="132"/>
      <c r="R260" s="119"/>
      <c r="S260" s="119"/>
      <c r="T260" s="119"/>
      <c r="U260" s="133" t="str">
        <f>IF([15]回答表!AD48="●",[15]回答表!B439,"")</f>
        <v/>
      </c>
      <c r="V260" s="134"/>
      <c r="W260" s="134"/>
      <c r="X260" s="134"/>
      <c r="Y260" s="134"/>
      <c r="Z260" s="134"/>
      <c r="AA260" s="134"/>
      <c r="AB260" s="134"/>
      <c r="AC260" s="134"/>
      <c r="AD260" s="134"/>
      <c r="AE260" s="134"/>
      <c r="AF260" s="134"/>
      <c r="AG260" s="134"/>
      <c r="AH260" s="134"/>
      <c r="AI260" s="134"/>
      <c r="AJ260" s="135"/>
      <c r="AK260" s="183"/>
      <c r="AL260" s="183"/>
      <c r="AM260" s="133" t="str">
        <f>IF([15]回答表!AD48="●",[15]回答表!B445,"")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IF([15]回答表!X49="●","●","")</f>
        <v/>
      </c>
      <c r="O271" s="131"/>
      <c r="P271" s="131"/>
      <c r="Q271" s="132"/>
      <c r="R271" s="119"/>
      <c r="S271" s="119"/>
      <c r="T271" s="119"/>
      <c r="U271" s="133" t="str">
        <f>IF([15]回答表!X49="●",[15]回答表!B458,IF([15]回答表!AA49="●",[15]回答表!B475,""))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IF([15]回答表!X49="●",[15]回答表!B468,IF([15]回答表!AA49="●",[15]回答表!B485,""))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IF([15]回答表!X49="●",[15]回答表!G464,IF([15]回答表!AA49="●",[15]回答表!G481,""))</f>
        <v/>
      </c>
      <c r="AN273" s="83"/>
      <c r="AO273" s="83"/>
      <c r="AP273" s="83"/>
      <c r="AQ273" s="83"/>
      <c r="AR273" s="83"/>
      <c r="AS273" s="83"/>
      <c r="AT273" s="153"/>
      <c r="AU273" s="82" t="str">
        <f>IF([15]回答表!X49="●",[15]回答表!G465,IF([15]回答表!AA49="●",[15]回答表!G482,""))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IF([15]回答表!X49="●",[15]回答表!E468,IF([15]回答表!AA49="●",[15]回答表!E485,""))</f>
        <v/>
      </c>
      <c r="BG274" s="151"/>
      <c r="BH274" s="151"/>
      <c r="BI274" s="151"/>
      <c r="BJ274" s="150" t="str">
        <f>IF([15]回答表!X49="●",[15]回答表!E469,IF([15]回答表!AA49="●",[15]回答表!E486,""))</f>
        <v/>
      </c>
      <c r="BK274" s="151"/>
      <c r="BL274" s="151"/>
      <c r="BM274" s="152"/>
      <c r="BN274" s="150" t="str">
        <f>IF([15]回答表!X49="●",[15]回答表!E470,IF([15]回答表!AA49="●",[15]回答表!E487,""))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IF([15]回答表!AD49="●","●","")</f>
        <v/>
      </c>
      <c r="O283" s="131"/>
      <c r="P283" s="131"/>
      <c r="Q283" s="132"/>
      <c r="R283" s="119"/>
      <c r="S283" s="119"/>
      <c r="T283" s="119"/>
      <c r="U283" s="133" t="str">
        <f>IF([15]回答表!AD49="●",[15]回答表!B492,"")</f>
        <v/>
      </c>
      <c r="V283" s="134"/>
      <c r="W283" s="134"/>
      <c r="X283" s="134"/>
      <c r="Y283" s="134"/>
      <c r="Z283" s="134"/>
      <c r="AA283" s="134"/>
      <c r="AB283" s="134"/>
      <c r="AC283" s="134"/>
      <c r="AD283" s="134"/>
      <c r="AE283" s="134"/>
      <c r="AF283" s="134"/>
      <c r="AG283" s="134"/>
      <c r="AH283" s="134"/>
      <c r="AI283" s="134"/>
      <c r="AJ283" s="135"/>
      <c r="AK283" s="136"/>
      <c r="AL283" s="136"/>
      <c r="AM283" s="133" t="str">
        <f>IF([15]回答表!AD49="●",[15]回答表!B498,"")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IF([15]回答表!R50="●",[15]回答表!B511,"")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AEB40-E075-422B-BC23-8827DE78D567}">
  <sheetPr>
    <pageSetUpPr fitToPage="1"/>
  </sheetPr>
  <dimension ref="A1:CN315"/>
  <sheetViews>
    <sheetView showZeros="0" view="pageBreakPreview" zoomScale="60" zoomScaleNormal="55" workbookViewId="0">
      <selection activeCell="BN113" sqref="BN113:BQ11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IF(COUNTIF([16]回答表!K15,"*")&gt;0,[16]回答表!K15,"")</f>
        <v>由利本荘市</v>
      </c>
      <c r="D11" s="8"/>
      <c r="E11" s="8"/>
      <c r="F11" s="8"/>
      <c r="G11" s="8"/>
      <c r="H11" s="8"/>
      <c r="I11" s="8"/>
      <c r="J11" s="8"/>
      <c r="K11" s="8"/>
      <c r="L11" s="8"/>
      <c r="M11" s="8"/>
      <c r="N11" s="8"/>
      <c r="O11" s="8"/>
      <c r="P11" s="8"/>
      <c r="Q11" s="8"/>
      <c r="R11" s="8"/>
      <c r="S11" s="8"/>
      <c r="T11" s="8"/>
      <c r="U11" s="22" t="str">
        <f>IF(COUNTIF([16]回答表!F17,"*")&gt;0,[16]回答表!F17,"")</f>
        <v>宅地造成事業</v>
      </c>
      <c r="V11" s="23"/>
      <c r="W11" s="23"/>
      <c r="X11" s="23"/>
      <c r="Y11" s="23"/>
      <c r="Z11" s="23"/>
      <c r="AA11" s="23"/>
      <c r="AB11" s="23"/>
      <c r="AC11" s="23"/>
      <c r="AD11" s="23"/>
      <c r="AE11" s="23"/>
      <c r="AF11" s="10"/>
      <c r="AG11" s="10"/>
      <c r="AH11" s="10"/>
      <c r="AI11" s="10"/>
      <c r="AJ11" s="10"/>
      <c r="AK11" s="10"/>
      <c r="AL11" s="10"/>
      <c r="AM11" s="10"/>
      <c r="AN11" s="11"/>
      <c r="AO11" s="24" t="str">
        <f>IF(COUNTIF([16]回答表!W17,"*")&gt;0,[16]回答表!W17,"")</f>
        <v>その他造成</v>
      </c>
      <c r="AP11" s="10"/>
      <c r="AQ11" s="10"/>
      <c r="AR11" s="10"/>
      <c r="AS11" s="10"/>
      <c r="AT11" s="10"/>
      <c r="AU11" s="10"/>
      <c r="AV11" s="10"/>
      <c r="AW11" s="10"/>
      <c r="AX11" s="10"/>
      <c r="AY11" s="10"/>
      <c r="AZ11" s="10"/>
      <c r="BA11" s="10"/>
      <c r="BB11" s="10"/>
      <c r="BC11" s="10"/>
      <c r="BD11" s="10"/>
      <c r="BE11" s="10"/>
      <c r="BF11" s="11"/>
      <c r="BG11" s="21" t="str">
        <f>IF(COUNTIF([16]回答表!F19,"*")&gt;0,[16]回答表!F19,"")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IF([16]回答表!R43="●","●","")</f>
        <v/>
      </c>
      <c r="E24" s="80"/>
      <c r="F24" s="80"/>
      <c r="G24" s="80"/>
      <c r="H24" s="80"/>
      <c r="I24" s="80"/>
      <c r="J24" s="81"/>
      <c r="K24" s="79" t="str">
        <f>IF([16]回答表!R44="●","●","")</f>
        <v/>
      </c>
      <c r="L24" s="80"/>
      <c r="M24" s="80"/>
      <c r="N24" s="80"/>
      <c r="O24" s="80"/>
      <c r="P24" s="80"/>
      <c r="Q24" s="81"/>
      <c r="R24" s="79" t="str">
        <f>IF([16]回答表!R45="●","●","")</f>
        <v/>
      </c>
      <c r="S24" s="80"/>
      <c r="T24" s="80"/>
      <c r="U24" s="80"/>
      <c r="V24" s="80"/>
      <c r="W24" s="80"/>
      <c r="X24" s="81"/>
      <c r="Y24" s="79" t="str">
        <f>IF([16]回答表!R46="●","●","")</f>
        <v/>
      </c>
      <c r="Z24" s="80"/>
      <c r="AA24" s="80"/>
      <c r="AB24" s="80"/>
      <c r="AC24" s="80"/>
      <c r="AD24" s="80"/>
      <c r="AE24" s="81"/>
      <c r="AF24" s="79" t="str">
        <f>IF([16]回答表!R47="●","●","")</f>
        <v/>
      </c>
      <c r="AG24" s="80"/>
      <c r="AH24" s="80"/>
      <c r="AI24" s="80"/>
      <c r="AJ24" s="80"/>
      <c r="AK24" s="80"/>
      <c r="AL24" s="81"/>
      <c r="AM24" s="79" t="str">
        <f>IF([16]回答表!R48="●","●","")</f>
        <v/>
      </c>
      <c r="AN24" s="80"/>
      <c r="AO24" s="80"/>
      <c r="AP24" s="80"/>
      <c r="AQ24" s="80"/>
      <c r="AR24" s="80"/>
      <c r="AS24" s="81"/>
      <c r="AT24" s="79" t="str">
        <f>IF([16]回答表!R49="●","●","")</f>
        <v/>
      </c>
      <c r="AU24" s="80"/>
      <c r="AV24" s="80"/>
      <c r="AW24" s="80"/>
      <c r="AX24" s="80"/>
      <c r="AY24" s="80"/>
      <c r="AZ24" s="81"/>
      <c r="BA24" s="68"/>
      <c r="BB24" s="82" t="str">
        <f>IF([16]回答表!R50="●","●","")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IF([16]回答表!X43="●","●","")</f>
        <v/>
      </c>
      <c r="O36" s="131"/>
      <c r="P36" s="131"/>
      <c r="Q36" s="132"/>
      <c r="R36" s="119"/>
      <c r="S36" s="119"/>
      <c r="T36" s="119"/>
      <c r="U36" s="133" t="str">
        <f>IF([16]回答表!X43="●",[16]回答表!B59,IF([16]回答表!AA43="●",[16]回答表!B79,""))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IF([16]回答表!X43="●",[16]回答表!S65,IF([16]回答表!AA43="●",[16]回答表!S85,""))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IF([16]回答表!X43="●",[16]回答表!G65,IF([16]回答表!AA43="●",[16]回答表!G85,""))</f>
        <v/>
      </c>
      <c r="AN38" s="83"/>
      <c r="AO38" s="83"/>
      <c r="AP38" s="83"/>
      <c r="AQ38" s="83"/>
      <c r="AR38" s="83"/>
      <c r="AS38" s="83"/>
      <c r="AT38" s="153"/>
      <c r="AU38" s="82" t="str">
        <f>IF([16]回答表!X43="●",[16]回答表!G66,IF([16]回答表!AA43="●",[16]回答表!G86,""))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IF([16]回答表!X43="●",[16]回答表!V65,IF([16]回答表!AA43="●",[16]回答表!V85,""))</f>
        <v/>
      </c>
      <c r="BG39" s="16"/>
      <c r="BH39" s="16"/>
      <c r="BI39" s="17"/>
      <c r="BJ39" s="150" t="str">
        <f>IF([16]回答表!X43="●",[16]回答表!V66,IF([16]回答表!AA43="●",[16]回答表!V86,""))</f>
        <v/>
      </c>
      <c r="BK39" s="16"/>
      <c r="BL39" s="16"/>
      <c r="BM39" s="17"/>
      <c r="BN39" s="150" t="str">
        <f>IF([16]回答表!X43="●",[16]回答表!V67,IF([16]回答表!AA43="●",[16]回答表!V87,""))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IF([16]回答表!X43="●",[16]回答表!O71,IF([16]回答表!AA43="●",[16]回答表!O91,""))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IF([16]回答表!X43="●",[16]回答表!O72,IF([16]回答表!AA43="●",[16]回答表!O92,""))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IF([16]回答表!AA43="●","●","")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IF([16]回答表!X43="●",[16]回答表!O73,IF([16]回答表!AA43="●",[16]回答表!O93,""))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IF([16]回答表!X43="●",[16]回答表!O74,IF([16]回答表!AA43="●",[16]回答表!O94,""))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IF([16]回答表!X43="●",[16]回答表!AG71,IF([16]回答表!AA43="●",[16]回答表!AG91,""))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IF([16]回答表!X43="●",[16]回答表!AG72,IF([16]回答表!AA43="●",[16]回答表!AG92,""))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IF([16]回答表!AD43="●","●","")</f>
        <v/>
      </c>
      <c r="O51" s="131"/>
      <c r="P51" s="131"/>
      <c r="Q51" s="132"/>
      <c r="R51" s="119"/>
      <c r="S51" s="119"/>
      <c r="T51" s="119"/>
      <c r="U51" s="133" t="str">
        <f>IF([16]回答表!AD43="●",[16]回答表!B99,"")</f>
        <v/>
      </c>
      <c r="V51" s="134"/>
      <c r="W51" s="134"/>
      <c r="X51" s="134"/>
      <c r="Y51" s="134"/>
      <c r="Z51" s="134"/>
      <c r="AA51" s="134"/>
      <c r="AB51" s="134"/>
      <c r="AC51" s="134"/>
      <c r="AD51" s="134"/>
      <c r="AE51" s="134"/>
      <c r="AF51" s="134"/>
      <c r="AG51" s="134"/>
      <c r="AH51" s="134"/>
      <c r="AI51" s="134"/>
      <c r="AJ51" s="135"/>
      <c r="AK51" s="183"/>
      <c r="AL51" s="183"/>
      <c r="AM51" s="133" t="str">
        <f>IF([16]回答表!AD43="●",[16]回答表!B104,"")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IF([16]回答表!X44="●","●","")</f>
        <v/>
      </c>
      <c r="O62" s="131"/>
      <c r="P62" s="131"/>
      <c r="Q62" s="132"/>
      <c r="R62" s="119"/>
      <c r="S62" s="119"/>
      <c r="T62" s="119"/>
      <c r="U62" s="133" t="str">
        <f>IF([16]回答表!X44="●",[16]回答表!B115,IF([16]回答表!AA44="●",[16]回答表!B127,""))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IF([16]回答表!X44="●",[16]回答表!S121,IF([16]回答表!AA44="●",[16]回答表!S133,""))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IF([16]回答表!X44="●",[16]回答表!J121,IF([16]回答表!AA44="●",[16]回答表!J133,""))</f>
        <v/>
      </c>
      <c r="AN65" s="83"/>
      <c r="AO65" s="83"/>
      <c r="AP65" s="83"/>
      <c r="AQ65" s="83"/>
      <c r="AR65" s="83"/>
      <c r="AS65" s="83"/>
      <c r="AT65" s="153"/>
      <c r="AU65" s="82" t="str">
        <f>IF([16]回答表!X44="●",[16]回答表!J122,IF([16]回答表!AA44="●",[16]回答表!J134,""))</f>
        <v/>
      </c>
      <c r="AV65" s="83"/>
      <c r="AW65" s="83"/>
      <c r="AX65" s="83"/>
      <c r="AY65" s="83"/>
      <c r="AZ65" s="83"/>
      <c r="BA65" s="83"/>
      <c r="BB65" s="153"/>
      <c r="BC65" s="120"/>
      <c r="BD65" s="109"/>
      <c r="BE65" s="109"/>
      <c r="BF65" s="150" t="str">
        <f>IF([16]回答表!X44="●",[16]回答表!V121,IF([16]回答表!AA44="●",[16]回答表!V133,""))</f>
        <v/>
      </c>
      <c r="BG65" s="151"/>
      <c r="BH65" s="151"/>
      <c r="BI65" s="151"/>
      <c r="BJ65" s="150" t="str">
        <f>IF([16]回答表!X44="●",[16]回答表!V122,IF([16]回答表!AA44="●",[16]回答表!V134,""))</f>
        <v/>
      </c>
      <c r="BK65" s="151"/>
      <c r="BL65" s="151"/>
      <c r="BM65" s="151"/>
      <c r="BN65" s="150" t="str">
        <f>IF([16]回答表!X44="●",[16]回答表!V123,IF([16]回答表!AA44="●",[16]回答表!V135,""))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IF([16]回答表!AA44="●","●","")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IF([16]回答表!AD44="●","●","")</f>
        <v/>
      </c>
      <c r="O74" s="131"/>
      <c r="P74" s="131"/>
      <c r="Q74" s="132"/>
      <c r="R74" s="119"/>
      <c r="S74" s="119"/>
      <c r="T74" s="119"/>
      <c r="U74" s="133" t="str">
        <f>IF([16]回答表!AD44="●",[16]回答表!B140,"")</f>
        <v/>
      </c>
      <c r="V74" s="134"/>
      <c r="W74" s="134"/>
      <c r="X74" s="134"/>
      <c r="Y74" s="134"/>
      <c r="Z74" s="134"/>
      <c r="AA74" s="134"/>
      <c r="AB74" s="134"/>
      <c r="AC74" s="134"/>
      <c r="AD74" s="134"/>
      <c r="AE74" s="134"/>
      <c r="AF74" s="134"/>
      <c r="AG74" s="134"/>
      <c r="AH74" s="134"/>
      <c r="AI74" s="134"/>
      <c r="AJ74" s="135"/>
      <c r="AK74" s="183"/>
      <c r="AL74" s="183"/>
      <c r="AM74" s="133" t="str">
        <f>IF([16]回答表!AD44="●",[16]回答表!B146,"")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IF([16]回答表!F17="水道事業",IF([16]回答表!X45="●","●",""),"")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IF([16]回答表!F17="水道事業",IF([16]回答表!X45="●",[16]回答表!B158,IF([16]回答表!AA45="●",[16]回答表!B223,"")),"")</f>
        <v/>
      </c>
      <c r="AN86" s="201"/>
      <c r="AO86" s="201"/>
      <c r="AP86" s="201"/>
      <c r="AQ86" s="201"/>
      <c r="AR86" s="201"/>
      <c r="AS86" s="201"/>
      <c r="AT86" s="201"/>
      <c r="AU86" s="201"/>
      <c r="AV86" s="201"/>
      <c r="AW86" s="201"/>
      <c r="AX86" s="201"/>
      <c r="AY86" s="201"/>
      <c r="AZ86" s="201"/>
      <c r="BA86" s="201"/>
      <c r="BB86" s="201"/>
      <c r="BC86" s="202"/>
      <c r="BD86" s="109"/>
      <c r="BE86" s="109"/>
      <c r="BF86" s="138" t="str">
        <f>IF([16]回答表!F17="水道事業",IF([16]回答表!X45="●",[16]回答表!B212,IF([16]回答表!AA45="●",[16]回答表!B278,"")),"")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IF([16]回答表!F17="水道事業",IF([16]回答表!X45="●",[16]回答表!J166,IF([16]回答表!AA45="●",[16]回答表!J231,"")),"")</f>
        <v/>
      </c>
      <c r="V88" s="83"/>
      <c r="W88" s="83"/>
      <c r="X88" s="83"/>
      <c r="Y88" s="83"/>
      <c r="Z88" s="83"/>
      <c r="AA88" s="83"/>
      <c r="AB88" s="153"/>
      <c r="AC88" s="82" t="str">
        <f>IF([16]回答表!F17="水道事業",IF([16]回答表!X45="●",[16]回答表!J173,IF([16]回答表!AA45="●",[16]回答表!J238,"")),"")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IF([16]回答表!F17="水道事業",IF([16]回答表!X45="●",[16]回答表!E212,IF([16]回答表!AA45="●",[16]回答表!E278,"")),"")</f>
        <v/>
      </c>
      <c r="BG89" s="151"/>
      <c r="BH89" s="151"/>
      <c r="BI89" s="151"/>
      <c r="BJ89" s="150" t="str">
        <f>IF([16]回答表!F17="水道事業",IF([16]回答表!X45="●",[16]回答表!E213,IF([16]回答表!AA45="●",[16]回答表!E279,"")),"")</f>
        <v/>
      </c>
      <c r="BK89" s="151"/>
      <c r="BL89" s="151"/>
      <c r="BM89" s="151"/>
      <c r="BN89" s="150" t="str">
        <f>IF([16]回答表!F17="水道事業",IF([16]回答表!X45="●",[16]回答表!E214,IF([16]回答表!AA45="●",[16]回答表!E280,"")),"")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IF([16]回答表!F17="水道事業",IF([16]回答表!AA45="●","●",""),"")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IF([16]回答表!F17="水道事業",IF([16]回答表!X45="●",[16]回答表!J176,IF([16]回答表!AA45="●",[16]回答表!J241,"")),"")</f>
        <v/>
      </c>
      <c r="V93" s="83"/>
      <c r="W93" s="83"/>
      <c r="X93" s="83"/>
      <c r="Y93" s="83"/>
      <c r="Z93" s="83"/>
      <c r="AA93" s="83"/>
      <c r="AB93" s="153"/>
      <c r="AC93" s="82" t="str">
        <f>IF([16]回答表!F17="水道事業",IF([16]回答表!X45="●",[16]回答表!J180,IF([16]回答表!AA45="●",[16]回答表!J245,"")),"")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IF([16]回答表!F17="水道事業",IF([16]回答表!AD45="○","○",""),"")</f>
        <v/>
      </c>
      <c r="O98" s="131"/>
      <c r="P98" s="131"/>
      <c r="Q98" s="132"/>
      <c r="R98" s="119"/>
      <c r="S98" s="119"/>
      <c r="T98" s="119"/>
      <c r="U98" s="133" t="str">
        <f>IF([16]回答表!F17="水道事業",IF([16]回答表!AD45="●",[16]回答表!B289,""),"")</f>
        <v/>
      </c>
      <c r="V98" s="134"/>
      <c r="W98" s="134"/>
      <c r="X98" s="134"/>
      <c r="Y98" s="134"/>
      <c r="Z98" s="134"/>
      <c r="AA98" s="134"/>
      <c r="AB98" s="134"/>
      <c r="AC98" s="134"/>
      <c r="AD98" s="134"/>
      <c r="AE98" s="134"/>
      <c r="AF98" s="134"/>
      <c r="AG98" s="134"/>
      <c r="AH98" s="134"/>
      <c r="AI98" s="134"/>
      <c r="AJ98" s="135"/>
      <c r="AK98" s="183"/>
      <c r="AL98" s="183"/>
      <c r="AM98" s="133" t="str">
        <f>IF([16]回答表!F17="水道事業",IF([16]回答表!AD45="●",[16]回答表!B295,""),"")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IF([16]回答表!F17="簡易水道事業",IF([16]回答表!X45="●",[16]回答表!B158,IF([16]回答表!AA45="●",[16]回答表!B223,"")),"")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IF([16]回答表!F17="簡易水道事業",IF([16]回答表!X45="●",[16]回答表!B212,IF([16]回答表!AA45="●",[16]回答表!B278,"")),"")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IF([16]回答表!F17="簡易水道事業",IF([16]回答表!X45="●","●",""),"")</f>
        <v/>
      </c>
      <c r="O112" s="131"/>
      <c r="P112" s="131"/>
      <c r="Q112" s="132"/>
      <c r="R112" s="119"/>
      <c r="S112" s="119"/>
      <c r="T112" s="119"/>
      <c r="U112" s="82" t="str">
        <f>IF([16]回答表!F17="簡易水道事業",IF([16]回答表!X45="●",[16]回答表!Y185,IF([16]回答表!AA45="●",[16]回答表!Y251,"")),"")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IF([16]回答表!F17="簡易水道事業",IF([16]回答表!X45="●",[16]回答表!E212,IF([16]回答表!AA45="●",[16]回答表!E278,"")),"")</f>
        <v/>
      </c>
      <c r="BG113" s="151"/>
      <c r="BH113" s="151"/>
      <c r="BI113" s="151"/>
      <c r="BJ113" s="150" t="str">
        <f>IF([16]回答表!F17="簡易水道事業",IF([16]回答表!X45="●",[16]回答表!E213,IF([16]回答表!AA45="●",[16]回答表!E279,"")),"")</f>
        <v/>
      </c>
      <c r="BK113" s="151"/>
      <c r="BL113" s="151"/>
      <c r="BM113" s="151"/>
      <c r="BN113" s="150" t="str">
        <f>IF([16]回答表!F17="簡易水道事業",IF([16]回答表!X45="●",[16]回答表!E214,IF([16]回答表!AA45="●",[16]回答表!E280,"")),"")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IF([16]回答表!F17="簡易水道事業",IF([16]回答表!X45="●",[16]回答表!Y186,IF([16]回答表!AA45="●",[16]回答表!Y252,"")),"")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IF([16]回答表!F17="簡易水道事業",IF([16]回答表!AA45="●","●",""),"")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IF([16]回答表!F17="簡易水道事業",IF([16]回答表!X45="●",[16]回答表!Y187,IF([16]回答表!AA45="●",[16]回答表!Y253,"")),"")</f>
        <v/>
      </c>
      <c r="V122" s="83"/>
      <c r="W122" s="83"/>
      <c r="X122" s="83"/>
      <c r="Y122" s="83"/>
      <c r="Z122" s="83"/>
      <c r="AA122" s="83"/>
      <c r="AB122" s="83"/>
      <c r="AC122" s="83"/>
      <c r="AD122" s="83"/>
      <c r="AE122" s="83"/>
      <c r="AF122" s="83"/>
      <c r="AG122" s="83"/>
      <c r="AH122" s="83"/>
      <c r="AI122" s="83"/>
      <c r="AJ122" s="153"/>
      <c r="AK122" s="68"/>
      <c r="AL122" s="68"/>
      <c r="AM122" s="233" t="str">
        <f>IF([16]回答表!F17="簡易水道事業",IF([16]回答表!X45="●",[16]回答表!Y189,IF([16]回答表!AA45="●",[16]回答表!Y255,"")),"")</f>
        <v/>
      </c>
      <c r="AN122" s="233"/>
      <c r="AO122" s="233"/>
      <c r="AP122" s="233"/>
      <c r="AQ122" s="233"/>
      <c r="AR122" s="233"/>
      <c r="AS122" s="233" t="str">
        <f>IF([16]回答表!F17="簡易水道事業",IF([16]回答表!X45="●",[16]回答表!Y190,IF([16]回答表!AA45="●",[16]回答表!Y256,"")),"")</f>
        <v/>
      </c>
      <c r="AT122" s="233"/>
      <c r="AU122" s="233"/>
      <c r="AV122" s="233"/>
      <c r="AW122" s="233"/>
      <c r="AX122" s="233"/>
      <c r="AY122" s="233" t="str">
        <f>IF([16]回答表!F17="簡易水道事業",IF([16]回答表!X45="●",[16]回答表!Y191,IF([16]回答表!AA45="●",[16]回答表!Y257,"")),"")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IF([16]回答表!F17="簡易水道事業",IF([16]回答表!AD45="●","●",""),"")</f>
        <v/>
      </c>
      <c r="O127" s="131"/>
      <c r="P127" s="131"/>
      <c r="Q127" s="132"/>
      <c r="R127" s="119"/>
      <c r="S127" s="119"/>
      <c r="T127" s="119"/>
      <c r="U127" s="133" t="str">
        <f>IF([16]回答表!F17="簡易水道事業",IF([16]回答表!AD45="●",[16]回答表!B289,""),"")</f>
        <v/>
      </c>
      <c r="V127" s="134"/>
      <c r="W127" s="134"/>
      <c r="X127" s="134"/>
      <c r="Y127" s="134"/>
      <c r="Z127" s="134"/>
      <c r="AA127" s="134"/>
      <c r="AB127" s="134"/>
      <c r="AC127" s="134"/>
      <c r="AD127" s="134"/>
      <c r="AE127" s="134"/>
      <c r="AF127" s="134"/>
      <c r="AG127" s="134"/>
      <c r="AH127" s="134"/>
      <c r="AI127" s="134"/>
      <c r="AJ127" s="135"/>
      <c r="AK127" s="183"/>
      <c r="AL127" s="183"/>
      <c r="AM127" s="133" t="str">
        <f>IF([16]回答表!F17="簡易水道事業",IF([16]回答表!AD45="●",[16]回答表!B295,""),"")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IF([16]回答表!F17="下水道事業",IF([16]回答表!X45="●","●",""),"")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IF([16]回答表!F17="下水道事業",IF([16]回答表!X45="●",[16]回答表!B158,IF([16]回答表!AA45="●",[16]回答表!B223,"")),"")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IF([16]回答表!F17="下水道事業",IF([16]回答表!X45="●",[16]回答表!B212,IF([16]回答表!AA45="●",[16]回答表!B278,"")),"")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IF([16]回答表!F17="下水道事業",IF([16]回答表!X45="●",[16]回答表!Y193,IF([16]回答表!AA45="●",[16]回答表!Y259,"")),"")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IF([16]回答表!F17="下水道事業",IF([16]回答表!X45="●",[16]回答表!E212,IF([16]回答表!AA45="●",[16]回答表!E278,"")),"")</f>
        <v/>
      </c>
      <c r="BG142" s="151"/>
      <c r="BH142" s="151"/>
      <c r="BI142" s="151"/>
      <c r="BJ142" s="150" t="str">
        <f>IF([16]回答表!F17="下水道事業",IF([16]回答表!X45="●",[16]回答表!E213,IF([16]回答表!AA45="●",[16]回答表!E279,"")),"")</f>
        <v/>
      </c>
      <c r="BK142" s="151"/>
      <c r="BL142" s="151"/>
      <c r="BM142" s="151"/>
      <c r="BN142" s="150" t="str">
        <f>IF([16]回答表!F17="下水道事業",IF([16]回答表!X45="●",[16]回答表!E214,IF([16]回答表!AA45="●",[16]回答表!E280,"")),"")</f>
        <v/>
      </c>
      <c r="BO142" s="151"/>
      <c r="BP142" s="151"/>
      <c r="BQ142" s="152"/>
      <c r="BR142" s="112"/>
      <c r="BX142" s="200" t="str">
        <f>IF([16]回答表!AQ20="下水道事業",IF([16]回答表!BI48="○",[16]回答表!AM161,IF([16]回答表!BL48="○",[16]回答表!AM226,"")),"")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IF([16]回答表!F17="下水道事業",IF([16]回答表!X45="●",[16]回答表!Y195,IF([16]回答表!AA45="●",[16]回答表!Y261,"")),"")</f>
        <v/>
      </c>
      <c r="V147" s="83"/>
      <c r="W147" s="83"/>
      <c r="X147" s="83"/>
      <c r="Y147" s="83"/>
      <c r="Z147" s="83"/>
      <c r="AA147" s="83"/>
      <c r="AB147" s="153"/>
      <c r="AC147" s="82" t="str">
        <f>IF([16]回答表!F17="下水道事業",IF([16]回答表!X45="●",[16]回答表!Y196,IF([16]回答表!AA45="●",[16]回答表!Y262,"")),"")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IF([16]回答表!F17="下水道事業",IF([16]回答表!X45="●",[16]回答表!Y198,IF([16]回答表!AA45="●",[16]回答表!Y264,"")),"")</f>
        <v/>
      </c>
      <c r="V153" s="83"/>
      <c r="W153" s="83"/>
      <c r="X153" s="83"/>
      <c r="Y153" s="83"/>
      <c r="Z153" s="83"/>
      <c r="AA153" s="83"/>
      <c r="AB153" s="153"/>
      <c r="AC153" s="82" t="str">
        <f>IF([16]回答表!F17="下水道事業",IF([16]回答表!X45="●",[16]回答表!Y199,IF([16]回答表!AA45="●",[16]回答表!Y265,"")),"")</f>
        <v/>
      </c>
      <c r="AD153" s="83"/>
      <c r="AE153" s="83"/>
      <c r="AF153" s="83"/>
      <c r="AG153" s="83"/>
      <c r="AH153" s="83"/>
      <c r="AI153" s="83"/>
      <c r="AJ153" s="153"/>
      <c r="AK153" s="82" t="str">
        <f>IF([16]回答表!F17="下水道事業",IF([16]回答表!X45="●",[16]回答表!Y200,IF([16]回答表!AA45="●",[16]回答表!Y266,"")),"")</f>
        <v/>
      </c>
      <c r="AL153" s="83"/>
      <c r="AM153" s="83"/>
      <c r="AN153" s="83"/>
      <c r="AO153" s="83"/>
      <c r="AP153" s="83"/>
      <c r="AQ153" s="83"/>
      <c r="AR153" s="153"/>
      <c r="AS153" s="82" t="str">
        <f>IF([16]回答表!F17="下水道事業",IF([16]回答表!X45="●",[16]回答表!Y201,IF([16]回答表!AA45="●",[16]回答表!Y267,"")),"")</f>
        <v/>
      </c>
      <c r="AT153" s="83"/>
      <c r="AU153" s="83"/>
      <c r="AV153" s="83"/>
      <c r="AW153" s="83"/>
      <c r="AX153" s="83"/>
      <c r="AY153" s="83"/>
      <c r="AZ153" s="153"/>
      <c r="BA153" s="82" t="str">
        <f>IF([16]回答表!F17="下水道事業",IF([16]回答表!X45="●",[16]回答表!Y202,IF([16]回答表!AA45="●",[16]回答表!Y268,"")),"")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IF([16]回答表!F17="下水道事業",IF([16]回答表!AA45="●","●",""),"")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IF([16]回答表!F17="下水道事業",IF([16]回答表!X45="●",[16]回答表!Y207,IF([16]回答表!AA45="●",[16]回答表!Y273,"")),"")</f>
        <v/>
      </c>
      <c r="V159" s="83"/>
      <c r="W159" s="83"/>
      <c r="X159" s="83"/>
      <c r="Y159" s="83"/>
      <c r="Z159" s="83"/>
      <c r="AA159" s="83"/>
      <c r="AB159" s="153"/>
      <c r="AC159" s="82" t="str">
        <f>IF([16]回答表!F17="下水道事業",IF([16]回答表!X45="●",[16]回答表!Y208,IF([16]回答表!AA45="●",[16]回答表!Y274,"")),"")</f>
        <v/>
      </c>
      <c r="AD159" s="83"/>
      <c r="AE159" s="83"/>
      <c r="AF159" s="83"/>
      <c r="AG159" s="83"/>
      <c r="AH159" s="83"/>
      <c r="AI159" s="83"/>
      <c r="AJ159" s="153"/>
      <c r="AK159" s="82" t="str">
        <f>IF([16]回答表!F17="下水道事業",IF([16]回答表!X45="●",[16]回答表!Y209,IF([16]回答表!AA45="●",[16]回答表!Y275,"")),"")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IF([16]回答表!F17="下水道事業",IF([16]回答表!AD45="●","●",""),"")</f>
        <v/>
      </c>
      <c r="O164" s="131"/>
      <c r="P164" s="131"/>
      <c r="Q164" s="132"/>
      <c r="R164" s="119"/>
      <c r="S164" s="119"/>
      <c r="T164" s="119"/>
      <c r="U164" s="133" t="str">
        <f>IF([16]回答表!F17="下水道事業",IF([16]回答表!AD45="●",[16]回答表!B289,""),"")</f>
        <v/>
      </c>
      <c r="V164" s="134"/>
      <c r="W164" s="134"/>
      <c r="X164" s="134"/>
      <c r="Y164" s="134"/>
      <c r="Z164" s="134"/>
      <c r="AA164" s="134"/>
      <c r="AB164" s="134"/>
      <c r="AC164" s="134"/>
      <c r="AD164" s="134"/>
      <c r="AE164" s="134"/>
      <c r="AF164" s="134"/>
      <c r="AG164" s="134"/>
      <c r="AH164" s="134"/>
      <c r="AI164" s="134"/>
      <c r="AJ164" s="135"/>
      <c r="AK164" s="183"/>
      <c r="AL164" s="183"/>
      <c r="AM164" s="133" t="str">
        <f>IF([16]回答表!F17="下水道事業",IF([16]回答表!AD45="●",[16]回答表!B295,""),"")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IF([16]回答表!BD17="●",IF([16]回答表!X45="●","●",""),"")</f>
        <v/>
      </c>
      <c r="O176" s="131"/>
      <c r="P176" s="131"/>
      <c r="Q176" s="132"/>
      <c r="R176" s="119"/>
      <c r="S176" s="119"/>
      <c r="T176" s="119"/>
      <c r="U176" s="133" t="str">
        <f>IF([16]回答表!BD17="●",IF([16]回答表!X45="●",[16]回答表!B158,IF([16]回答表!AA45="●",[16]回答表!B223,"")),"")</f>
        <v/>
      </c>
      <c r="V176" s="134"/>
      <c r="W176" s="134"/>
      <c r="X176" s="134"/>
      <c r="Y176" s="134"/>
      <c r="Z176" s="134"/>
      <c r="AA176" s="134"/>
      <c r="AB176" s="134"/>
      <c r="AC176" s="134"/>
      <c r="AD176" s="134"/>
      <c r="AE176" s="134"/>
      <c r="AF176" s="134"/>
      <c r="AG176" s="134"/>
      <c r="AH176" s="134"/>
      <c r="AI176" s="134"/>
      <c r="AJ176" s="135"/>
      <c r="AK176" s="136"/>
      <c r="AL176" s="136"/>
      <c r="AM176" s="138" t="str">
        <f>IF([16]回答表!BD17="●",IF([16]回答表!X45="●",[16]回答表!B212,IF([16]回答表!AA45="●",[16]回答表!B278,"")),"")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IF([16]回答表!BD17="●",IF([16]回答表!X45="●",[16]回答表!E212,IF([16]回答表!AA45="●",[16]回答表!E278,"")),"")</f>
        <v/>
      </c>
      <c r="AN179" s="151"/>
      <c r="AO179" s="151"/>
      <c r="AP179" s="151"/>
      <c r="AQ179" s="150" t="str">
        <f>IF([16]回答表!BD17="●",IF([16]回答表!X45="●",[16]回答表!E213,IF([16]回答表!AA45="●",[16]回答表!E279,"")),"")</f>
        <v/>
      </c>
      <c r="AR179" s="151"/>
      <c r="AS179" s="151"/>
      <c r="AT179" s="151"/>
      <c r="AU179" s="150" t="str">
        <f>IF([16]回答表!BD17="●",IF([16]回答表!X45="●",[16]回答表!E214,IF([16]回答表!AA45="●",[16]回答表!E280,"")),"")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IF([16]回答表!BD17="●",IF([16]回答表!AA45="●","●",""),"")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IF([16]回答表!BD17="●",IF([16]回答表!AD45="●","●",""),"")</f>
        <v/>
      </c>
      <c r="O188" s="131"/>
      <c r="P188" s="131"/>
      <c r="Q188" s="132"/>
      <c r="R188" s="119"/>
      <c r="S188" s="119"/>
      <c r="T188" s="119"/>
      <c r="U188" s="133" t="str">
        <f>IF([16]回答表!BD17="●",IF([16]回答表!AD45="●",[16]回答表!B289,""),"")</f>
        <v/>
      </c>
      <c r="V188" s="134"/>
      <c r="W188" s="134"/>
      <c r="X188" s="134"/>
      <c r="Y188" s="134"/>
      <c r="Z188" s="134"/>
      <c r="AA188" s="134"/>
      <c r="AB188" s="134"/>
      <c r="AC188" s="134"/>
      <c r="AD188" s="134"/>
      <c r="AE188" s="134"/>
      <c r="AF188" s="134"/>
      <c r="AG188" s="134"/>
      <c r="AH188" s="134"/>
      <c r="AI188" s="134"/>
      <c r="AJ188" s="135"/>
      <c r="AK188" s="183"/>
      <c r="AL188" s="183"/>
      <c r="AM188" s="133" t="str">
        <f>IF([16]回答表!BD17="●",IF([16]回答表!AD45="●",[16]回答表!B295,""),"")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IF([16]回答表!X46="●","●","")</f>
        <v/>
      </c>
      <c r="O200" s="131"/>
      <c r="P200" s="131"/>
      <c r="Q200" s="132"/>
      <c r="R200" s="119"/>
      <c r="S200" s="119"/>
      <c r="T200" s="119"/>
      <c r="U200" s="133" t="str">
        <f>IF([16]回答表!X46="●",[16]回答表!B307,IF([16]回答表!AA46="●",[16]回答表!B324,""))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IF([16]回答表!X46="●",[16]回答表!U313,IF([16]回答表!AA46="●",[16]回答表!U330,""))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IF([16]回答表!X46="●",[16]回答表!G313,IF([16]回答表!AA46="●",[16]回答表!G330,""))</f>
        <v/>
      </c>
      <c r="AN203" s="83"/>
      <c r="AO203" s="83"/>
      <c r="AP203" s="83"/>
      <c r="AQ203" s="83"/>
      <c r="AR203" s="83"/>
      <c r="AS203" s="83"/>
      <c r="AT203" s="153"/>
      <c r="AU203" s="82" t="str">
        <f>IF([16]回答表!X46="●",[16]回答表!G314,IF([16]回答表!AA46="●",[16]回答表!G331,""))</f>
        <v/>
      </c>
      <c r="AV203" s="83"/>
      <c r="AW203" s="83"/>
      <c r="AX203" s="83"/>
      <c r="AY203" s="83"/>
      <c r="AZ203" s="83"/>
      <c r="BA203" s="83"/>
      <c r="BB203" s="153"/>
      <c r="BC203" s="120"/>
      <c r="BD203" s="109"/>
      <c r="BE203" s="109"/>
      <c r="BF203" s="150" t="str">
        <f>IF([16]回答表!X46="●",[16]回答表!X313,IF([16]回答表!AA46="●",[16]回答表!X330,""))</f>
        <v/>
      </c>
      <c r="BG203" s="151"/>
      <c r="BH203" s="151"/>
      <c r="BI203" s="151"/>
      <c r="BJ203" s="150" t="str">
        <f>IF([16]回答表!X46="●",[16]回答表!X314,IF([16]回答表!AA46="●",[16]回答表!X331,""))</f>
        <v/>
      </c>
      <c r="BK203" s="151"/>
      <c r="BL203" s="151"/>
      <c r="BM203" s="152"/>
      <c r="BN203" s="150" t="str">
        <f>IF([16]回答表!X46="●",[16]回答表!X315,IF([16]回答表!AA46="●",[16]回答表!X332,""))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IF([16]回答表!AA46="●","●","")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IF([16]回答表!AD46="●","●","")</f>
        <v/>
      </c>
      <c r="O212" s="131"/>
      <c r="P212" s="131"/>
      <c r="Q212" s="132"/>
      <c r="R212" s="119"/>
      <c r="S212" s="119"/>
      <c r="T212" s="119"/>
      <c r="U212" s="133" t="str">
        <f>IF([16]回答表!AD46="●",[16]回答表!B337,"")</f>
        <v/>
      </c>
      <c r="V212" s="134"/>
      <c r="W212" s="134"/>
      <c r="X212" s="134"/>
      <c r="Y212" s="134"/>
      <c r="Z212" s="134"/>
      <c r="AA212" s="134"/>
      <c r="AB212" s="134"/>
      <c r="AC212" s="134"/>
      <c r="AD212" s="134"/>
      <c r="AE212" s="134"/>
      <c r="AF212" s="134"/>
      <c r="AG212" s="134"/>
      <c r="AH212" s="134"/>
      <c r="AI212" s="134"/>
      <c r="AJ212" s="135"/>
      <c r="AK212" s="259"/>
      <c r="AL212" s="259"/>
      <c r="AM212" s="133" t="str">
        <f>IF([16]回答表!AD46="●",[16]回答表!B343,"")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IF([16]回答表!X47="●","●","")</f>
        <v/>
      </c>
      <c r="O224" s="131"/>
      <c r="P224" s="131"/>
      <c r="Q224" s="132"/>
      <c r="R224" s="119"/>
      <c r="S224" s="119"/>
      <c r="T224" s="119"/>
      <c r="U224" s="133" t="str">
        <f>IF([16]回答表!X47="●",[16]回答表!B356,IF([16]回答表!AA47="●",[16]回答表!B379,""))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IF([16]回答表!X47="●",[16]回答表!B362,"")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IF([16]回答表!X47="●",[16]回答表!B368,IF([16]回答表!AA47="●",[16]回答表!B385,""))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IF([16]回答表!X47="●",[16]回答表!E368,IF([16]回答表!AA47="●",[16]回答表!E385,""))</f>
        <v/>
      </c>
      <c r="BG227" s="151"/>
      <c r="BH227" s="151"/>
      <c r="BI227" s="151"/>
      <c r="BJ227" s="150" t="str">
        <f>IF([16]回答表!X47="●",[16]回答表!E369,IF([16]回答表!AA47="●",[16]回答表!E386,""))</f>
        <v/>
      </c>
      <c r="BK227" s="151"/>
      <c r="BL227" s="151"/>
      <c r="BM227" s="152"/>
      <c r="BN227" s="150" t="str">
        <f>IF([16]回答表!X47="●",[16]回答表!E370,IF([16]回答表!AA47="●",[16]回答表!E387,""))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IF([16]回答表!AA47="●","●","")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IF([16]回答表!AD47="●","●","")</f>
        <v/>
      </c>
      <c r="O236" s="131"/>
      <c r="P236" s="131"/>
      <c r="Q236" s="132"/>
      <c r="R236" s="119"/>
      <c r="S236" s="119"/>
      <c r="T236" s="119"/>
      <c r="U236" s="133" t="str">
        <f>IF([16]回答表!AD47="●",[16]回答表!B392,"")</f>
        <v/>
      </c>
      <c r="V236" s="134"/>
      <c r="W236" s="134"/>
      <c r="X236" s="134"/>
      <c r="Y236" s="134"/>
      <c r="Z236" s="134"/>
      <c r="AA236" s="134"/>
      <c r="AB236" s="134"/>
      <c r="AC236" s="134"/>
      <c r="AD236" s="134"/>
      <c r="AE236" s="134"/>
      <c r="AF236" s="134"/>
      <c r="AG236" s="134"/>
      <c r="AH236" s="134"/>
      <c r="AI236" s="134"/>
      <c r="AJ236" s="135"/>
      <c r="AK236" s="259"/>
      <c r="AL236" s="259"/>
      <c r="AM236" s="133" t="str">
        <f>IF([16]回答表!AD47="●",[16]回答表!B398,"")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IF([16]回答表!X48="●","●","")</f>
        <v/>
      </c>
      <c r="O248" s="131"/>
      <c r="P248" s="131"/>
      <c r="Q248" s="132"/>
      <c r="R248" s="119"/>
      <c r="S248" s="119"/>
      <c r="T248" s="119"/>
      <c r="U248" s="133" t="str">
        <f>IF([16]回答表!X48="●",[16]回答表!B411,IF([16]回答表!AA48="●",[16]回答表!B425,""))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IF([16]回答表!X48="●",[16]回答表!BC418,IF([16]回答表!AA48="●",[16]回答表!BC432,""))</f>
        <v/>
      </c>
      <c r="AR248" s="272"/>
      <c r="AS248" s="272"/>
      <c r="AT248" s="272"/>
      <c r="AU248" s="273" t="s">
        <v>73</v>
      </c>
      <c r="AV248" s="274"/>
      <c r="AW248" s="274"/>
      <c r="AX248" s="275"/>
      <c r="AY248" s="272" t="str">
        <f>IF([16]回答表!X48="●",[16]回答表!BC423,IF([16]回答表!AA48="●",[16]回答表!BC437,""))</f>
        <v/>
      </c>
      <c r="AZ248" s="272"/>
      <c r="BA248" s="272"/>
      <c r="BB248" s="272"/>
      <c r="BC248" s="120"/>
      <c r="BD248" s="109"/>
      <c r="BE248" s="109"/>
      <c r="BF248" s="138" t="str">
        <f>IF([16]回答表!X48="●",[16]回答表!S417,IF([16]回答表!AA48="●",[16]回答表!S431,""))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IF([16]回答表!X48="●",[16]回答表!BC419,IF([16]回答表!AA48="●",[16]回答表!BC433,""))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IF([16]回答表!X48="●",[16]回答表!V417,IF([16]回答表!AA48="●",[16]回答表!V431,""))</f>
        <v/>
      </c>
      <c r="BG251" s="151"/>
      <c r="BH251" s="151"/>
      <c r="BI251" s="151"/>
      <c r="BJ251" s="150" t="str">
        <f>IF([16]回答表!X48="●",[16]回答表!V418,IF([16]回答表!AA48="●",[16]回答表!V432,""))</f>
        <v/>
      </c>
      <c r="BK251" s="151"/>
      <c r="BL251" s="151"/>
      <c r="BM251" s="152"/>
      <c r="BN251" s="150" t="str">
        <f>IF([16]回答表!X48="●",[16]回答表!V419,IF([16]回答表!AA48="●",[16]回答表!V433,""))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IF([16]回答表!X48="●",[16]回答表!BC420,IF([16]回答表!AA48="●",[16]回答表!BC434,""))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IF([16]回答表!X48="●",[16]回答表!BC424,IF([16]回答表!AA48="●",[16]回答表!BC438,""))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IF([16]回答表!AA48="●","●","")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IF([16]回答表!X48="●",[16]回答表!BC421,IF([16]回答表!AA48="●",[16]回答表!BC435,""))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IF([16]回答表!X48="●",[16]回答表!BC422,IF([16]回答表!AA48="●",[16]回答表!BC436,""))</f>
        <v/>
      </c>
      <c r="AR256" s="272"/>
      <c r="AS256" s="272"/>
      <c r="AT256" s="272"/>
      <c r="AU256" s="224" t="s">
        <v>79</v>
      </c>
      <c r="AV256" s="225"/>
      <c r="AW256" s="225"/>
      <c r="AX256" s="226"/>
      <c r="AY256" s="282" t="str">
        <f>IF([16]回答表!X48="●",[16]回答表!BC425,IF([16]回答表!AA48="●",[16]回答表!BC439,""))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IF([16]回答表!AD48="●","●","")</f>
        <v/>
      </c>
      <c r="O260" s="131"/>
      <c r="P260" s="131"/>
      <c r="Q260" s="132"/>
      <c r="R260" s="119"/>
      <c r="S260" s="119"/>
      <c r="T260" s="119"/>
      <c r="U260" s="133" t="str">
        <f>IF([16]回答表!AD48="●",[16]回答表!B439,"")</f>
        <v/>
      </c>
      <c r="V260" s="134"/>
      <c r="W260" s="134"/>
      <c r="X260" s="134"/>
      <c r="Y260" s="134"/>
      <c r="Z260" s="134"/>
      <c r="AA260" s="134"/>
      <c r="AB260" s="134"/>
      <c r="AC260" s="134"/>
      <c r="AD260" s="134"/>
      <c r="AE260" s="134"/>
      <c r="AF260" s="134"/>
      <c r="AG260" s="134"/>
      <c r="AH260" s="134"/>
      <c r="AI260" s="134"/>
      <c r="AJ260" s="135"/>
      <c r="AK260" s="183"/>
      <c r="AL260" s="183"/>
      <c r="AM260" s="133" t="str">
        <f>IF([16]回答表!AD48="●",[16]回答表!B445,"")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IF([16]回答表!X49="●","●","")</f>
        <v/>
      </c>
      <c r="O271" s="131"/>
      <c r="P271" s="131"/>
      <c r="Q271" s="132"/>
      <c r="R271" s="119"/>
      <c r="S271" s="119"/>
      <c r="T271" s="119"/>
      <c r="U271" s="133" t="str">
        <f>IF([16]回答表!X49="●",[16]回答表!B458,IF([16]回答表!AA49="●",[16]回答表!B475,""))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IF([16]回答表!X49="●",[16]回答表!B468,IF([16]回答表!AA49="●",[16]回答表!B485,""))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IF([16]回答表!X49="●",[16]回答表!G464,IF([16]回答表!AA49="●",[16]回答表!G481,""))</f>
        <v/>
      </c>
      <c r="AN273" s="83"/>
      <c r="AO273" s="83"/>
      <c r="AP273" s="83"/>
      <c r="AQ273" s="83"/>
      <c r="AR273" s="83"/>
      <c r="AS273" s="83"/>
      <c r="AT273" s="153"/>
      <c r="AU273" s="82" t="str">
        <f>IF([16]回答表!X49="●",[16]回答表!G465,IF([16]回答表!AA49="●",[16]回答表!G482,""))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IF([16]回答表!X49="●",[16]回答表!E468,IF([16]回答表!AA49="●",[16]回答表!E485,""))</f>
        <v/>
      </c>
      <c r="BG274" s="151"/>
      <c r="BH274" s="151"/>
      <c r="BI274" s="151"/>
      <c r="BJ274" s="150" t="str">
        <f>IF([16]回答表!X49="●",[16]回答表!E469,IF([16]回答表!AA49="●",[16]回答表!E486,""))</f>
        <v/>
      </c>
      <c r="BK274" s="151"/>
      <c r="BL274" s="151"/>
      <c r="BM274" s="152"/>
      <c r="BN274" s="150" t="str">
        <f>IF([16]回答表!X49="●",[16]回答表!E470,IF([16]回答表!AA49="●",[16]回答表!E487,""))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IF([16]回答表!AA49="●","●","")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IF([16]回答表!AD49="●","●","")</f>
        <v/>
      </c>
      <c r="O283" s="131"/>
      <c r="P283" s="131"/>
      <c r="Q283" s="132"/>
      <c r="R283" s="119"/>
      <c r="S283" s="119"/>
      <c r="T283" s="119"/>
      <c r="U283" s="133" t="str">
        <f>IF([16]回答表!AD49="●",[16]回答表!B492,"")</f>
        <v/>
      </c>
      <c r="V283" s="134"/>
      <c r="W283" s="134"/>
      <c r="X283" s="134"/>
      <c r="Y283" s="134"/>
      <c r="Z283" s="134"/>
      <c r="AA283" s="134"/>
      <c r="AB283" s="134"/>
      <c r="AC283" s="134"/>
      <c r="AD283" s="134"/>
      <c r="AE283" s="134"/>
      <c r="AF283" s="134"/>
      <c r="AG283" s="134"/>
      <c r="AH283" s="134"/>
      <c r="AI283" s="134"/>
      <c r="AJ283" s="135"/>
      <c r="AK283" s="136"/>
      <c r="AL283" s="136"/>
      <c r="AM283" s="133" t="str">
        <f>IF([16]回答表!AD49="●",[16]回答表!B498,"")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IF([16]回答表!R50="●",[16]回答表!B511,"")</f>
        <v>事業を開始してまもなく（令和2年度事業開始）、事業自体が限定的であることや、事業期間も概ね5年程度と短期を見込んでいるため現行の体制・手法を継続することが適当と考えられる。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F7CB6-5728-4A1E-9E5A-53A7C0D523E6}">
  <sheetPr>
    <pageSetUpPr fitToPage="1"/>
  </sheetPr>
  <dimension ref="A1:CN315"/>
  <sheetViews>
    <sheetView showZeros="0" view="pageBreakPreview" zoomScale="60" zoomScaleNormal="55" workbookViewId="0">
      <selection activeCell="N102" sqref="N102"/>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由利本荘市</v>
      </c>
      <c r="D11" s="8"/>
      <c r="E11" s="8"/>
      <c r="F11" s="8"/>
      <c r="G11" s="8"/>
      <c r="H11" s="8"/>
      <c r="I11" s="8"/>
      <c r="J11" s="8"/>
      <c r="K11" s="8"/>
      <c r="L11" s="8"/>
      <c r="M11" s="8"/>
      <c r="N11" s="8"/>
      <c r="O11" s="8"/>
      <c r="P11" s="8"/>
      <c r="Q11" s="8"/>
      <c r="R11" s="8"/>
      <c r="S11" s="8"/>
      <c r="T11" s="8"/>
      <c r="U11" s="22" t="str">
        <f>IF(COUNTIF([2]回答表!F17,"*")&gt;0,[2]回答表!F17,"")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v>
      </c>
      <c r="O36" s="131"/>
      <c r="P36" s="131"/>
      <c r="Q36" s="132"/>
      <c r="R36" s="119"/>
      <c r="S36" s="119"/>
      <c r="T36" s="119"/>
      <c r="U36" s="133" t="str">
        <f>IF([2]回答表!X43="●",[2]回答表!B59,IF([2]回答表!AA43="●",[2]回答表!B79,""))</f>
        <v>　平成２９年３月に由利本荘市上水道事業への事業統合をおこないました。
　これにより、経営成績（毎年度の利益・損失等フロー情報）・財政状態（資産・負債等ストック情報）の的確な把握が可能となりました。</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平成</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v>
      </c>
      <c r="AN38" s="83"/>
      <c r="AO38" s="83"/>
      <c r="AP38" s="83"/>
      <c r="AQ38" s="83"/>
      <c r="AR38" s="83"/>
      <c r="AS38" s="83"/>
      <c r="AT38" s="153"/>
      <c r="AU38" s="82" t="str">
        <f>IF([2]回答表!X43="●",[2]回答表!G66,IF([2]回答表!AA43="●",[2]回答表!G86,""))</f>
        <v xml:space="preserve">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f>IF([2]回答表!X43="●",[2]回答表!V65,IF([2]回答表!AA43="●",[2]回答表!V85,""))</f>
        <v>29</v>
      </c>
      <c r="BG39" s="16"/>
      <c r="BH39" s="16"/>
      <c r="BI39" s="17"/>
      <c r="BJ39" s="150">
        <f>IF([2]回答表!X43="●",[2]回答表!V66,IF([2]回答表!AA43="●",[2]回答表!V86,""))</f>
        <v>3</v>
      </c>
      <c r="BK39" s="16"/>
      <c r="BL39" s="16"/>
      <c r="BM39" s="17"/>
      <c r="BN39" s="150">
        <f>IF([2]回答表!X43="●",[2]回答表!V67,IF([2]回答表!AA43="●",[2]回答表!V87,""))</f>
        <v>31</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xml:space="preserve">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9" priority="2">
      <formula>$BB$25="○"</formula>
    </cfRule>
  </conditionalFormatting>
  <conditionalFormatting sqref="BD28:BD30">
    <cfRule type="expression" dxfId="2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54126-FBF9-4D4E-809C-608762270F69}">
  <sheetPr>
    <pageSetUpPr fitToPage="1"/>
  </sheetPr>
  <dimension ref="A1:CN315"/>
  <sheetViews>
    <sheetView showZeros="0" view="pageBreakPreview" zoomScale="60" zoomScaleNormal="55" workbookViewId="0">
      <selection activeCell="Q102" sqref="Q102"/>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由利本荘市</v>
      </c>
      <c r="D11" s="8"/>
      <c r="E11" s="8"/>
      <c r="F11" s="8"/>
      <c r="G11" s="8"/>
      <c r="H11" s="8"/>
      <c r="I11" s="8"/>
      <c r="J11" s="8"/>
      <c r="K11" s="8"/>
      <c r="L11" s="8"/>
      <c r="M11" s="8"/>
      <c r="N11" s="8"/>
      <c r="O11" s="8"/>
      <c r="P11" s="8"/>
      <c r="Q11" s="8"/>
      <c r="R11" s="8"/>
      <c r="S11" s="8"/>
      <c r="T11" s="8"/>
      <c r="U11" s="22" t="str">
        <f>IF(COUNTIF([3]回答表!F17,"*")&gt;0,[3]回答表!F17,"")</f>
        <v>ガス事業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IF([3]回答表!F17="下水道事業",IF([3]回答表!X45="●",[3]回答表!E212,IF([3]回答表!AA45="●",[3]回答表!E278,"")),"")</f>
        <v/>
      </c>
      <c r="BG142" s="151"/>
      <c r="BH142" s="151"/>
      <c r="BI142" s="151"/>
      <c r="BJ142" s="150" t="str">
        <f>IF([3]回答表!F17="下水道事業",IF([3]回答表!X45="●",[3]回答表!E213,IF([3]回答表!AA45="●",[3]回答表!E279,"")),"")</f>
        <v/>
      </c>
      <c r="BK142" s="151"/>
      <c r="BL142" s="151"/>
      <c r="BM142" s="151"/>
      <c r="BN142" s="150" t="str">
        <f>IF([3]回答表!F17="下水道事業",IF([3]回答表!X45="●",[3]回答表!E214,IF([3]回答表!AA45="●",[3]回答表!E280,"")),"")</f>
        <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c>
      <c r="V147" s="83"/>
      <c r="W147" s="83"/>
      <c r="X147" s="83"/>
      <c r="Y147" s="83"/>
      <c r="Z147" s="83"/>
      <c r="AA147" s="83"/>
      <c r="AB147" s="153"/>
      <c r="AC147" s="82" t="str">
        <f>IF([3]回答表!F17="下水道事業",IF([3]回答表!X45="●",[3]回答表!Y196,IF([3]回答表!AA45="●",[3]回答表!Y262,"")),"")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c>
      <c r="V153" s="83"/>
      <c r="W153" s="83"/>
      <c r="X153" s="83"/>
      <c r="Y153" s="83"/>
      <c r="Z153" s="83"/>
      <c r="AA153" s="83"/>
      <c r="AB153" s="153"/>
      <c r="AC153" s="82" t="str">
        <f>IF([3]回答表!F17="下水道事業",IF([3]回答表!X45="●",[3]回答表!Y199,IF([3]回答表!AA45="●",[3]回答表!Y265,"")),"")</f>
        <v/>
      </c>
      <c r="AD153" s="83"/>
      <c r="AE153" s="83"/>
      <c r="AF153" s="83"/>
      <c r="AG153" s="83"/>
      <c r="AH153" s="83"/>
      <c r="AI153" s="83"/>
      <c r="AJ153" s="153"/>
      <c r="AK153" s="82" t="str">
        <f>IF([3]回答表!F17="下水道事業",IF([3]回答表!X45="●",[3]回答表!Y200,IF([3]回答表!AA45="●",[3]回答表!Y266,"")),"")</f>
        <v/>
      </c>
      <c r="AL153" s="83"/>
      <c r="AM153" s="83"/>
      <c r="AN153" s="83"/>
      <c r="AO153" s="83"/>
      <c r="AP153" s="83"/>
      <c r="AQ153" s="83"/>
      <c r="AR153" s="153"/>
      <c r="AS153" s="82" t="str">
        <f>IF([3]回答表!F17="下水道事業",IF([3]回答表!X45="●",[3]回答表!Y201,IF([3]回答表!AA45="●",[3]回答表!Y267,"")),"")</f>
        <v/>
      </c>
      <c r="AT153" s="83"/>
      <c r="AU153" s="83"/>
      <c r="AV153" s="83"/>
      <c r="AW153" s="83"/>
      <c r="AX153" s="83"/>
      <c r="AY153" s="83"/>
      <c r="AZ153" s="153"/>
      <c r="BA153" s="82" t="str">
        <f>IF([3]回答表!F17="下水道事業",IF([3]回答表!X45="●",[3]回答表!Y202,IF([3]回答表!AA45="●",[3]回答表!Y268,"")),"")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c>
      <c r="V159" s="83"/>
      <c r="W159" s="83"/>
      <c r="X159" s="83"/>
      <c r="Y159" s="83"/>
      <c r="Z159" s="83"/>
      <c r="AA159" s="83"/>
      <c r="AB159" s="153"/>
      <c r="AC159" s="82" t="str">
        <f>IF([3]回答表!F17="下水道事業",IF([3]回答表!X45="●",[3]回答表!Y208,IF([3]回答表!AA45="●",[3]回答表!Y274,"")),"")</f>
        <v/>
      </c>
      <c r="AD159" s="83"/>
      <c r="AE159" s="83"/>
      <c r="AF159" s="83"/>
      <c r="AG159" s="83"/>
      <c r="AH159" s="83"/>
      <c r="AI159" s="83"/>
      <c r="AJ159" s="153"/>
      <c r="AK159" s="82" t="str">
        <f>IF([3]回答表!F17="下水道事業",IF([3]回答表!X45="●",[3]回答表!Y209,IF([3]回答表!AA45="●",[3]回答表!Y275,"")),"")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現在のところ、民営化する予定はないため、現行の体制を維持することが望ましいと考える。
ガス小売全面自由化により当市供給区域内に参入する小売り事業者の予定は今のところないが、今後参入の動きがあった場合、価格競争に対抗できるような料金設定を検討していかなければならない。</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7" priority="2">
      <formula>$BB$25="○"</formula>
    </cfRule>
  </conditionalFormatting>
  <conditionalFormatting sqref="BD28:BD30">
    <cfRule type="expression" dxfId="2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3FF69-B571-4EA0-898B-F2AB5D98D351}">
  <sheetPr>
    <pageSetUpPr fitToPage="1"/>
  </sheetPr>
  <dimension ref="A1:CN315"/>
  <sheetViews>
    <sheetView showZeros="0" view="pageBreakPreview" zoomScale="60" zoomScaleNormal="55" workbookViewId="0">
      <selection activeCell="AM149" sqref="AM149"/>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由利本荘市</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公共下水道</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2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313" t="str">
        <f>IF([4]回答表!F17="下水道事業",IF([4]回答表!X45="●",[4]回答表!B158,IF([4]回答表!AA45="●",[4]回答表!B223,"")),"")</f>
        <v>農業集落排水処理施設を廃止し、公共下水道処理施設に統合する計画で、令和2年度に統合工事を行っており、現段階の効果としては維持管理委託料、動力費など約２３０万円が減額を見込んでいる。今後も統廃合を進める予定であり、処理施設数が減ることで維持管理費用が減少すると見込んでいる。</v>
      </c>
      <c r="AN139" s="314"/>
      <c r="AO139" s="314"/>
      <c r="AP139" s="314"/>
      <c r="AQ139" s="314"/>
      <c r="AR139" s="314"/>
      <c r="AS139" s="314"/>
      <c r="AT139" s="314"/>
      <c r="AU139" s="314"/>
      <c r="AV139" s="314"/>
      <c r="AW139" s="314"/>
      <c r="AX139" s="314"/>
      <c r="AY139" s="314"/>
      <c r="AZ139" s="314"/>
      <c r="BA139" s="314"/>
      <c r="BB139" s="314"/>
      <c r="BC139" s="315"/>
      <c r="BD139" s="109"/>
      <c r="BE139" s="109"/>
      <c r="BF139" s="138" t="str">
        <f>IF([4]回答表!F17="下水道事業",IF([4]回答表!X45="●",[4]回答表!B212,IF([4]回答表!AA45="●",[4]回答表!B278,"")),"")</f>
        <v>令和</v>
      </c>
      <c r="BG139" s="139"/>
      <c r="BH139" s="139"/>
      <c r="BI139" s="139"/>
      <c r="BJ139" s="138"/>
      <c r="BK139" s="139"/>
      <c r="BL139" s="139"/>
      <c r="BM139" s="139"/>
      <c r="BN139" s="138"/>
      <c r="BO139" s="139"/>
      <c r="BP139" s="139"/>
      <c r="BQ139" s="140"/>
      <c r="BR139" s="112"/>
    </row>
    <row r="140" spans="3:92" ht="2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316"/>
      <c r="AN140" s="317"/>
      <c r="AO140" s="317"/>
      <c r="AP140" s="317"/>
      <c r="AQ140" s="317"/>
      <c r="AR140" s="317"/>
      <c r="AS140" s="317"/>
      <c r="AT140" s="317"/>
      <c r="AU140" s="317"/>
      <c r="AV140" s="317"/>
      <c r="AW140" s="317"/>
      <c r="AX140" s="317"/>
      <c r="AY140" s="317"/>
      <c r="AZ140" s="317"/>
      <c r="BA140" s="317"/>
      <c r="BB140" s="317"/>
      <c r="BC140" s="318"/>
      <c r="BD140" s="109"/>
      <c r="BE140" s="109"/>
      <c r="BF140" s="150"/>
      <c r="BG140" s="151"/>
      <c r="BH140" s="151"/>
      <c r="BI140" s="151"/>
      <c r="BJ140" s="150"/>
      <c r="BK140" s="151"/>
      <c r="BL140" s="151"/>
      <c r="BM140" s="151"/>
      <c r="BN140" s="150"/>
      <c r="BO140" s="151"/>
      <c r="BP140" s="151"/>
      <c r="BQ140" s="152"/>
      <c r="BR140" s="112"/>
    </row>
    <row r="141" spans="3:92" ht="21"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v>
      </c>
      <c r="V141" s="83"/>
      <c r="W141" s="83"/>
      <c r="X141" s="83"/>
      <c r="Y141" s="83"/>
      <c r="Z141" s="83"/>
      <c r="AA141" s="83"/>
      <c r="AB141" s="153"/>
      <c r="AC141" s="68"/>
      <c r="AD141" s="68"/>
      <c r="AE141" s="68"/>
      <c r="AF141" s="68"/>
      <c r="AG141" s="68"/>
      <c r="AH141" s="68"/>
      <c r="AI141" s="68"/>
      <c r="AJ141" s="68"/>
      <c r="AK141" s="136"/>
      <c r="AL141" s="68"/>
      <c r="AM141" s="316"/>
      <c r="AN141" s="317"/>
      <c r="AO141" s="317"/>
      <c r="AP141" s="317"/>
      <c r="AQ141" s="317"/>
      <c r="AR141" s="317"/>
      <c r="AS141" s="317"/>
      <c r="AT141" s="317"/>
      <c r="AU141" s="317"/>
      <c r="AV141" s="317"/>
      <c r="AW141" s="317"/>
      <c r="AX141" s="317"/>
      <c r="AY141" s="317"/>
      <c r="AZ141" s="317"/>
      <c r="BA141" s="317"/>
      <c r="BB141" s="317"/>
      <c r="BC141" s="318"/>
      <c r="BD141" s="109"/>
      <c r="BE141" s="109"/>
      <c r="BF141" s="150"/>
      <c r="BG141" s="151"/>
      <c r="BH141" s="151"/>
      <c r="BI141" s="151"/>
      <c r="BJ141" s="150"/>
      <c r="BK141" s="151"/>
      <c r="BL141" s="151"/>
      <c r="BM141" s="151"/>
      <c r="BN141" s="150"/>
      <c r="BO141" s="151"/>
      <c r="BP141" s="151"/>
      <c r="BQ141" s="152"/>
      <c r="BR141" s="112"/>
    </row>
    <row r="142" spans="3:92" ht="21"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316"/>
      <c r="AN142" s="317"/>
      <c r="AO142" s="317"/>
      <c r="AP142" s="317"/>
      <c r="AQ142" s="317"/>
      <c r="AR142" s="317"/>
      <c r="AS142" s="317"/>
      <c r="AT142" s="317"/>
      <c r="AU142" s="317"/>
      <c r="AV142" s="317"/>
      <c r="AW142" s="317"/>
      <c r="AX142" s="317"/>
      <c r="AY142" s="317"/>
      <c r="AZ142" s="317"/>
      <c r="BA142" s="317"/>
      <c r="BB142" s="317"/>
      <c r="BC142" s="318"/>
      <c r="BD142" s="109"/>
      <c r="BE142" s="109"/>
      <c r="BF142" s="150">
        <f>IF([4]回答表!F17="下水道事業",IF([4]回答表!X45="●",[4]回答表!E212,IF([4]回答表!AA45="●",[4]回答表!E278,"")),"")</f>
        <v>3</v>
      </c>
      <c r="BG142" s="151"/>
      <c r="BH142" s="151"/>
      <c r="BI142" s="151"/>
      <c r="BJ142" s="150">
        <f>IF([4]回答表!F17="下水道事業",IF([4]回答表!X45="●",[4]回答表!E213,IF([4]回答表!AA45="●",[4]回答表!E279,"")),"")</f>
        <v>4</v>
      </c>
      <c r="BK142" s="151"/>
      <c r="BL142" s="151"/>
      <c r="BM142" s="151"/>
      <c r="BN142" s="150">
        <f>IF([4]回答表!F17="下水道事業",IF([4]回答表!X45="●",[4]回答表!E214,IF([4]回答表!AA45="●",[4]回答表!E280,"")),"")</f>
        <v>1</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21"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316"/>
      <c r="AN143" s="317"/>
      <c r="AO143" s="317"/>
      <c r="AP143" s="317"/>
      <c r="AQ143" s="317"/>
      <c r="AR143" s="317"/>
      <c r="AS143" s="317"/>
      <c r="AT143" s="317"/>
      <c r="AU143" s="317"/>
      <c r="AV143" s="317"/>
      <c r="AW143" s="317"/>
      <c r="AX143" s="317"/>
      <c r="AY143" s="317"/>
      <c r="AZ143" s="317"/>
      <c r="BA143" s="317"/>
      <c r="BB143" s="317"/>
      <c r="BC143" s="318"/>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21"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316"/>
      <c r="AN144" s="317"/>
      <c r="AO144" s="317"/>
      <c r="AP144" s="317"/>
      <c r="AQ144" s="317"/>
      <c r="AR144" s="317"/>
      <c r="AS144" s="317"/>
      <c r="AT144" s="317"/>
      <c r="AU144" s="317"/>
      <c r="AV144" s="317"/>
      <c r="AW144" s="317"/>
      <c r="AX144" s="317"/>
      <c r="AY144" s="317"/>
      <c r="AZ144" s="317"/>
      <c r="BA144" s="317"/>
      <c r="BB144" s="317"/>
      <c r="BC144" s="318"/>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2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316"/>
      <c r="AN145" s="317"/>
      <c r="AO145" s="317"/>
      <c r="AP145" s="317"/>
      <c r="AQ145" s="317"/>
      <c r="AR145" s="317"/>
      <c r="AS145" s="317"/>
      <c r="AT145" s="317"/>
      <c r="AU145" s="317"/>
      <c r="AV145" s="317"/>
      <c r="AW145" s="317"/>
      <c r="AX145" s="317"/>
      <c r="AY145" s="317"/>
      <c r="AZ145" s="317"/>
      <c r="BA145" s="317"/>
      <c r="BB145" s="317"/>
      <c r="BC145" s="318"/>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2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316"/>
      <c r="AN146" s="317"/>
      <c r="AO146" s="317"/>
      <c r="AP146" s="317"/>
      <c r="AQ146" s="317"/>
      <c r="AR146" s="317"/>
      <c r="AS146" s="317"/>
      <c r="AT146" s="317"/>
      <c r="AU146" s="317"/>
      <c r="AV146" s="317"/>
      <c r="AW146" s="317"/>
      <c r="AX146" s="317"/>
      <c r="AY146" s="317"/>
      <c r="AZ146" s="317"/>
      <c r="BA146" s="317"/>
      <c r="BB146" s="317"/>
      <c r="BC146" s="318"/>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21"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xml:space="preserve"> </v>
      </c>
      <c r="V147" s="83"/>
      <c r="W147" s="83"/>
      <c r="X147" s="83"/>
      <c r="Y147" s="83"/>
      <c r="Z147" s="83"/>
      <c r="AA147" s="83"/>
      <c r="AB147" s="153"/>
      <c r="AC147" s="82" t="str">
        <f>IF([4]回答表!F17="下水道事業",IF([4]回答表!X45="●",[4]回答表!Y196,IF([4]回答表!AA45="●",[4]回答表!Y262,"")),"")</f>
        <v>●</v>
      </c>
      <c r="AD147" s="83"/>
      <c r="AE147" s="83"/>
      <c r="AF147" s="83"/>
      <c r="AG147" s="83"/>
      <c r="AH147" s="83"/>
      <c r="AI147" s="83"/>
      <c r="AJ147" s="153"/>
      <c r="AK147" s="136"/>
      <c r="AL147" s="109"/>
      <c r="AM147" s="316"/>
      <c r="AN147" s="317"/>
      <c r="AO147" s="317"/>
      <c r="AP147" s="317"/>
      <c r="AQ147" s="317"/>
      <c r="AR147" s="317"/>
      <c r="AS147" s="317"/>
      <c r="AT147" s="317"/>
      <c r="AU147" s="317"/>
      <c r="AV147" s="317"/>
      <c r="AW147" s="317"/>
      <c r="AX147" s="317"/>
      <c r="AY147" s="317"/>
      <c r="AZ147" s="317"/>
      <c r="BA147" s="317"/>
      <c r="BB147" s="317"/>
      <c r="BC147" s="318"/>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21"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319"/>
      <c r="AN148" s="320"/>
      <c r="AO148" s="320"/>
      <c r="AP148" s="320"/>
      <c r="AQ148" s="320"/>
      <c r="AR148" s="320"/>
      <c r="AS148" s="320"/>
      <c r="AT148" s="320"/>
      <c r="AU148" s="320"/>
      <c r="AV148" s="320"/>
      <c r="AW148" s="320"/>
      <c r="AX148" s="320"/>
      <c r="AY148" s="320"/>
      <c r="AZ148" s="320"/>
      <c r="BA148" s="320"/>
      <c r="BB148" s="320"/>
      <c r="BC148" s="321"/>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xml:space="preserve"> </v>
      </c>
      <c r="V153" s="83"/>
      <c r="W153" s="83"/>
      <c r="X153" s="83"/>
      <c r="Y153" s="83"/>
      <c r="Z153" s="83"/>
      <c r="AA153" s="83"/>
      <c r="AB153" s="153"/>
      <c r="AC153" s="82" t="str">
        <f>IF([4]回答表!F17="下水道事業",IF([4]回答表!X45="●",[4]回答表!Y199,IF([4]回答表!AA45="●",[4]回答表!Y265,"")),"")</f>
        <v xml:space="preserve"> </v>
      </c>
      <c r="AD153" s="83"/>
      <c r="AE153" s="83"/>
      <c r="AF153" s="83"/>
      <c r="AG153" s="83"/>
      <c r="AH153" s="83"/>
      <c r="AI153" s="83"/>
      <c r="AJ153" s="153"/>
      <c r="AK153" s="82" t="str">
        <f>IF([4]回答表!F17="下水道事業",IF([4]回答表!X45="●",[4]回答表!Y200,IF([4]回答表!AA45="●",[4]回答表!Y266,"")),"")</f>
        <v>●</v>
      </c>
      <c r="AL153" s="83"/>
      <c r="AM153" s="83"/>
      <c r="AN153" s="83"/>
      <c r="AO153" s="83"/>
      <c r="AP153" s="83"/>
      <c r="AQ153" s="83"/>
      <c r="AR153" s="153"/>
      <c r="AS153" s="82" t="str">
        <f>IF([4]回答表!F17="下水道事業",IF([4]回答表!X45="●",[4]回答表!Y201,IF([4]回答表!AA45="●",[4]回答表!Y267,"")),"")</f>
        <v xml:space="preserve"> </v>
      </c>
      <c r="AT153" s="83"/>
      <c r="AU153" s="83"/>
      <c r="AV153" s="83"/>
      <c r="AW153" s="83"/>
      <c r="AX153" s="83"/>
      <c r="AY153" s="83"/>
      <c r="AZ153" s="153"/>
      <c r="BA153" s="82" t="str">
        <f>IF([4]回答表!F17="下水道事業",IF([4]回答表!X45="●",[4]回答表!Y202,IF([4]回答表!AA45="●",[4]回答表!Y268,"")),"")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xml:space="preserve"> </v>
      </c>
      <c r="V159" s="83"/>
      <c r="W159" s="83"/>
      <c r="X159" s="83"/>
      <c r="Y159" s="83"/>
      <c r="Z159" s="83"/>
      <c r="AA159" s="83"/>
      <c r="AB159" s="153"/>
      <c r="AC159" s="82" t="str">
        <f>IF([4]回答表!F17="下水道事業",IF([4]回答表!X45="●",[4]回答表!Y208,IF([4]回答表!AA45="●",[4]回答表!Y274,"")),"")</f>
        <v xml:space="preserve"> </v>
      </c>
      <c r="AD159" s="83"/>
      <c r="AE159" s="83"/>
      <c r="AF159" s="83"/>
      <c r="AG159" s="83"/>
      <c r="AH159" s="83"/>
      <c r="AI159" s="83"/>
      <c r="AJ159" s="153"/>
      <c r="AK159" s="82" t="str">
        <f>IF([4]回答表!F17="下水道事業",IF([4]回答表!X45="●",[4]回答表!Y209,IF([4]回答表!AA45="●",[4]回答表!Y275,"")),"")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5" priority="2">
      <formula>$BB$25="○"</formula>
    </cfRule>
  </conditionalFormatting>
  <conditionalFormatting sqref="BD28:BD30">
    <cfRule type="expression" dxfId="2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649E7-E0A4-4AF8-94C4-A0B05A7FABB1}">
  <sheetPr>
    <pageSetUpPr fitToPage="1"/>
  </sheetPr>
  <dimension ref="A1:CN315"/>
  <sheetViews>
    <sheetView showZeros="0" view="pageBreakPreview" zoomScale="60" zoomScaleNormal="55" workbookViewId="0">
      <selection activeCell="AM139" sqref="AM139:BC14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IF(COUNTIF([5]回答表!K15,"*")&gt;0,[5]回答表!K15,"")</f>
        <v>由利本荘市</v>
      </c>
      <c r="D11" s="8"/>
      <c r="E11" s="8"/>
      <c r="F11" s="8"/>
      <c r="G11" s="8"/>
      <c r="H11" s="8"/>
      <c r="I11" s="8"/>
      <c r="J11" s="8"/>
      <c r="K11" s="8"/>
      <c r="L11" s="8"/>
      <c r="M11" s="8"/>
      <c r="N11" s="8"/>
      <c r="O11" s="8"/>
      <c r="P11" s="8"/>
      <c r="Q11" s="8"/>
      <c r="R11" s="8"/>
      <c r="S11" s="8"/>
      <c r="T11" s="8"/>
      <c r="U11" s="22" t="str">
        <f>IF(COUNTIF([5]回答表!F17,"*")&gt;0,[5]回答表!F17,"")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IF(COUNTIF([5]回答表!W17,"*")&gt;0,[5]回答表!W17,"")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IF(COUNTIF([5]回答表!F19,"*")&gt;0,[5]回答表!F19,"")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IF([5]回答表!R43="●","●","")</f>
        <v/>
      </c>
      <c r="E24" s="80"/>
      <c r="F24" s="80"/>
      <c r="G24" s="80"/>
      <c r="H24" s="80"/>
      <c r="I24" s="80"/>
      <c r="J24" s="81"/>
      <c r="K24" s="79" t="str">
        <f>IF([5]回答表!R44="●","●","")</f>
        <v/>
      </c>
      <c r="L24" s="80"/>
      <c r="M24" s="80"/>
      <c r="N24" s="80"/>
      <c r="O24" s="80"/>
      <c r="P24" s="80"/>
      <c r="Q24" s="81"/>
      <c r="R24" s="79" t="str">
        <f>IF([5]回答表!R45="●","●","")</f>
        <v>●</v>
      </c>
      <c r="S24" s="80"/>
      <c r="T24" s="80"/>
      <c r="U24" s="80"/>
      <c r="V24" s="80"/>
      <c r="W24" s="80"/>
      <c r="X24" s="81"/>
      <c r="Y24" s="79" t="str">
        <f>IF([5]回答表!R46="●","●","")</f>
        <v/>
      </c>
      <c r="Z24" s="80"/>
      <c r="AA24" s="80"/>
      <c r="AB24" s="80"/>
      <c r="AC24" s="80"/>
      <c r="AD24" s="80"/>
      <c r="AE24" s="81"/>
      <c r="AF24" s="79" t="str">
        <f>IF([5]回答表!R47="●","●","")</f>
        <v/>
      </c>
      <c r="AG24" s="80"/>
      <c r="AH24" s="80"/>
      <c r="AI24" s="80"/>
      <c r="AJ24" s="80"/>
      <c r="AK24" s="80"/>
      <c r="AL24" s="81"/>
      <c r="AM24" s="79" t="str">
        <f>IF([5]回答表!R48="●","●","")</f>
        <v/>
      </c>
      <c r="AN24" s="80"/>
      <c r="AO24" s="80"/>
      <c r="AP24" s="80"/>
      <c r="AQ24" s="80"/>
      <c r="AR24" s="80"/>
      <c r="AS24" s="81"/>
      <c r="AT24" s="79" t="str">
        <f>IF([5]回答表!R49="●","●","")</f>
        <v/>
      </c>
      <c r="AU24" s="80"/>
      <c r="AV24" s="80"/>
      <c r="AW24" s="80"/>
      <c r="AX24" s="80"/>
      <c r="AY24" s="80"/>
      <c r="AZ24" s="81"/>
      <c r="BA24" s="68"/>
      <c r="BB24" s="82" t="str">
        <f>IF([5]回答表!R50="●","●","")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IF([5]回答表!X43="●","●","")</f>
        <v/>
      </c>
      <c r="O36" s="131"/>
      <c r="P36" s="131"/>
      <c r="Q36" s="132"/>
      <c r="R36" s="119"/>
      <c r="S36" s="119"/>
      <c r="T36" s="119"/>
      <c r="U36" s="133" t="str">
        <f>IF([5]回答表!X43="●",[5]回答表!B59,IF([5]回答表!AA43="●",[5]回答表!B79,""))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IF([5]回答表!X43="●",[5]回答表!S65,IF([5]回答表!AA43="●",[5]回答表!S85,""))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IF([5]回答表!X43="●",[5]回答表!G65,IF([5]回答表!AA43="●",[5]回答表!G85,""))</f>
        <v/>
      </c>
      <c r="AN38" s="83"/>
      <c r="AO38" s="83"/>
      <c r="AP38" s="83"/>
      <c r="AQ38" s="83"/>
      <c r="AR38" s="83"/>
      <c r="AS38" s="83"/>
      <c r="AT38" s="153"/>
      <c r="AU38" s="82" t="str">
        <f>IF([5]回答表!X43="●",[5]回答表!G66,IF([5]回答表!AA43="●",[5]回答表!G86,""))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IF([5]回答表!X43="●",[5]回答表!V65,IF([5]回答表!AA43="●",[5]回答表!V85,""))</f>
        <v/>
      </c>
      <c r="BG39" s="16"/>
      <c r="BH39" s="16"/>
      <c r="BI39" s="17"/>
      <c r="BJ39" s="150" t="str">
        <f>IF([5]回答表!X43="●",[5]回答表!V66,IF([5]回答表!AA43="●",[5]回答表!V86,""))</f>
        <v/>
      </c>
      <c r="BK39" s="16"/>
      <c r="BL39" s="16"/>
      <c r="BM39" s="17"/>
      <c r="BN39" s="150" t="str">
        <f>IF([5]回答表!X43="●",[5]回答表!V67,IF([5]回答表!AA43="●",[5]回答表!V87,""))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IF([5]回答表!X43="●",[5]回答表!O71,IF([5]回答表!AA43="●",[5]回答表!O91,""))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IF([5]回答表!X43="●",[5]回答表!O72,IF([5]回答表!AA43="●",[5]回答表!O92,""))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IF([5]回答表!X43="●",[5]回答表!O73,IF([5]回答表!AA43="●",[5]回答表!O93,""))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IF([5]回答表!X43="●",[5]回答表!O74,IF([5]回答表!AA43="●",[5]回答表!O94,""))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IF([5]回答表!X43="●",[5]回答表!AG71,IF([5]回答表!AA43="●",[5]回答表!AG91,""))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IF([5]回答表!X43="●",[5]回答表!AG72,IF([5]回答表!AA43="●",[5]回答表!AG92,""))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IF([5]回答表!AD43="●","●","")</f>
        <v/>
      </c>
      <c r="O51" s="131"/>
      <c r="P51" s="131"/>
      <c r="Q51" s="132"/>
      <c r="R51" s="119"/>
      <c r="S51" s="119"/>
      <c r="T51" s="119"/>
      <c r="U51" s="133" t="str">
        <f>IF([5]回答表!AD43="●",[5]回答表!B99,"")</f>
        <v/>
      </c>
      <c r="V51" s="134"/>
      <c r="W51" s="134"/>
      <c r="X51" s="134"/>
      <c r="Y51" s="134"/>
      <c r="Z51" s="134"/>
      <c r="AA51" s="134"/>
      <c r="AB51" s="134"/>
      <c r="AC51" s="134"/>
      <c r="AD51" s="134"/>
      <c r="AE51" s="134"/>
      <c r="AF51" s="134"/>
      <c r="AG51" s="134"/>
      <c r="AH51" s="134"/>
      <c r="AI51" s="134"/>
      <c r="AJ51" s="135"/>
      <c r="AK51" s="183"/>
      <c r="AL51" s="183"/>
      <c r="AM51" s="133" t="str">
        <f>IF([5]回答表!AD43="●",[5]回答表!B104,"")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IF([5]回答表!X44="●","●","")</f>
        <v/>
      </c>
      <c r="O62" s="131"/>
      <c r="P62" s="131"/>
      <c r="Q62" s="132"/>
      <c r="R62" s="119"/>
      <c r="S62" s="119"/>
      <c r="T62" s="119"/>
      <c r="U62" s="133" t="str">
        <f>IF([5]回答表!X44="●",[5]回答表!B115,IF([5]回答表!AA44="●",[5]回答表!B127,""))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IF([5]回答表!X44="●",[5]回答表!S121,IF([5]回答表!AA44="●",[5]回答表!S133,""))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IF([5]回答表!X44="●",[5]回答表!J121,IF([5]回答表!AA44="●",[5]回答表!J133,""))</f>
        <v/>
      </c>
      <c r="AN65" s="83"/>
      <c r="AO65" s="83"/>
      <c r="AP65" s="83"/>
      <c r="AQ65" s="83"/>
      <c r="AR65" s="83"/>
      <c r="AS65" s="83"/>
      <c r="AT65" s="153"/>
      <c r="AU65" s="82" t="str">
        <f>IF([5]回答表!X44="●",[5]回答表!J122,IF([5]回答表!AA44="●",[5]回答表!J134,""))</f>
        <v/>
      </c>
      <c r="AV65" s="83"/>
      <c r="AW65" s="83"/>
      <c r="AX65" s="83"/>
      <c r="AY65" s="83"/>
      <c r="AZ65" s="83"/>
      <c r="BA65" s="83"/>
      <c r="BB65" s="153"/>
      <c r="BC65" s="120"/>
      <c r="BD65" s="109"/>
      <c r="BE65" s="109"/>
      <c r="BF65" s="150" t="str">
        <f>IF([5]回答表!X44="●",[5]回答表!V121,IF([5]回答表!AA44="●",[5]回答表!V133,""))</f>
        <v/>
      </c>
      <c r="BG65" s="151"/>
      <c r="BH65" s="151"/>
      <c r="BI65" s="151"/>
      <c r="BJ65" s="150" t="str">
        <f>IF([5]回答表!X44="●",[5]回答表!V122,IF([5]回答表!AA44="●",[5]回答表!V134,""))</f>
        <v/>
      </c>
      <c r="BK65" s="151"/>
      <c r="BL65" s="151"/>
      <c r="BM65" s="151"/>
      <c r="BN65" s="150" t="str">
        <f>IF([5]回答表!X44="●",[5]回答表!V123,IF([5]回答表!AA44="●",[5]回答表!V135,""))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IF([5]回答表!AD44="●","●","")</f>
        <v/>
      </c>
      <c r="O74" s="131"/>
      <c r="P74" s="131"/>
      <c r="Q74" s="132"/>
      <c r="R74" s="119"/>
      <c r="S74" s="119"/>
      <c r="T74" s="119"/>
      <c r="U74" s="133" t="str">
        <f>IF([5]回答表!AD44="●",[5]回答表!B140,"")</f>
        <v/>
      </c>
      <c r="V74" s="134"/>
      <c r="W74" s="134"/>
      <c r="X74" s="134"/>
      <c r="Y74" s="134"/>
      <c r="Z74" s="134"/>
      <c r="AA74" s="134"/>
      <c r="AB74" s="134"/>
      <c r="AC74" s="134"/>
      <c r="AD74" s="134"/>
      <c r="AE74" s="134"/>
      <c r="AF74" s="134"/>
      <c r="AG74" s="134"/>
      <c r="AH74" s="134"/>
      <c r="AI74" s="134"/>
      <c r="AJ74" s="135"/>
      <c r="AK74" s="183"/>
      <c r="AL74" s="183"/>
      <c r="AM74" s="133" t="str">
        <f>IF([5]回答表!AD44="●",[5]回答表!B146,"")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IF([5]回答表!F17="水道事業",IF([5]回答表!X45="●","●",""),"")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IF([5]回答表!F17="水道事業",IF([5]回答表!X45="●",[5]回答表!B158,IF([5]回答表!AA45="●",[5]回答表!B223,"")),"")</f>
        <v/>
      </c>
      <c r="AN86" s="201"/>
      <c r="AO86" s="201"/>
      <c r="AP86" s="201"/>
      <c r="AQ86" s="201"/>
      <c r="AR86" s="201"/>
      <c r="AS86" s="201"/>
      <c r="AT86" s="201"/>
      <c r="AU86" s="201"/>
      <c r="AV86" s="201"/>
      <c r="AW86" s="201"/>
      <c r="AX86" s="201"/>
      <c r="AY86" s="201"/>
      <c r="AZ86" s="201"/>
      <c r="BA86" s="201"/>
      <c r="BB86" s="201"/>
      <c r="BC86" s="202"/>
      <c r="BD86" s="109"/>
      <c r="BE86" s="109"/>
      <c r="BF86" s="138" t="str">
        <f>IF([5]回答表!F17="水道事業",IF([5]回答表!X45="●",[5]回答表!B212,IF([5]回答表!AA45="●",[5]回答表!B278,"")),"")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IF([5]回答表!F17="水道事業",IF([5]回答表!X45="●",[5]回答表!J166,IF([5]回答表!AA45="●",[5]回答表!J231,"")),"")</f>
        <v/>
      </c>
      <c r="V88" s="83"/>
      <c r="W88" s="83"/>
      <c r="X88" s="83"/>
      <c r="Y88" s="83"/>
      <c r="Z88" s="83"/>
      <c r="AA88" s="83"/>
      <c r="AB88" s="153"/>
      <c r="AC88" s="82" t="str">
        <f>IF([5]回答表!F17="水道事業",IF([5]回答表!X45="●",[5]回答表!J173,IF([5]回答表!AA45="●",[5]回答表!J238,"")),"")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IF([5]回答表!F17="水道事業",IF([5]回答表!X45="●",[5]回答表!E212,IF([5]回答表!AA45="●",[5]回答表!E278,"")),"")</f>
        <v/>
      </c>
      <c r="BG89" s="151"/>
      <c r="BH89" s="151"/>
      <c r="BI89" s="151"/>
      <c r="BJ89" s="150" t="str">
        <f>IF([5]回答表!F17="水道事業",IF([5]回答表!X45="●",[5]回答表!E213,IF([5]回答表!AA45="●",[5]回答表!E279,"")),"")</f>
        <v/>
      </c>
      <c r="BK89" s="151"/>
      <c r="BL89" s="151"/>
      <c r="BM89" s="151"/>
      <c r="BN89" s="150" t="str">
        <f>IF([5]回答表!F17="水道事業",IF([5]回答表!X45="●",[5]回答表!E214,IF([5]回答表!AA45="●",[5]回答表!E280,"")),"")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IF([5]回答表!F17="水道事業",IF([5]回答表!AA45="●","●",""),"")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IF([5]回答表!F17="水道事業",IF([5]回答表!X45="●",[5]回答表!J176,IF([5]回答表!AA45="●",[5]回答表!J241,"")),"")</f>
        <v/>
      </c>
      <c r="V93" s="83"/>
      <c r="W93" s="83"/>
      <c r="X93" s="83"/>
      <c r="Y93" s="83"/>
      <c r="Z93" s="83"/>
      <c r="AA93" s="83"/>
      <c r="AB93" s="153"/>
      <c r="AC93" s="82" t="str">
        <f>IF([5]回答表!F17="水道事業",IF([5]回答表!X45="●",[5]回答表!J180,IF([5]回答表!AA45="●",[5]回答表!J245,"")),"")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IF([5]回答表!F17="水道事業",IF([5]回答表!AD45="○","○",""),"")</f>
        <v/>
      </c>
      <c r="O98" s="131"/>
      <c r="P98" s="131"/>
      <c r="Q98" s="132"/>
      <c r="R98" s="119"/>
      <c r="S98" s="119"/>
      <c r="T98" s="119"/>
      <c r="U98" s="133" t="str">
        <f>IF([5]回答表!F17="水道事業",IF([5]回答表!AD45="●",[5]回答表!B289,""),"")</f>
        <v/>
      </c>
      <c r="V98" s="134"/>
      <c r="W98" s="134"/>
      <c r="X98" s="134"/>
      <c r="Y98" s="134"/>
      <c r="Z98" s="134"/>
      <c r="AA98" s="134"/>
      <c r="AB98" s="134"/>
      <c r="AC98" s="134"/>
      <c r="AD98" s="134"/>
      <c r="AE98" s="134"/>
      <c r="AF98" s="134"/>
      <c r="AG98" s="134"/>
      <c r="AH98" s="134"/>
      <c r="AI98" s="134"/>
      <c r="AJ98" s="135"/>
      <c r="AK98" s="183"/>
      <c r="AL98" s="183"/>
      <c r="AM98" s="133" t="str">
        <f>IF([5]回答表!F17="水道事業",IF([5]回答表!AD45="●",[5]回答表!B295,""),"")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IF([5]回答表!F17="簡易水道事業",IF([5]回答表!X45="●",[5]回答表!B158,IF([5]回答表!AA45="●",[5]回答表!B223,"")),"")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IF([5]回答表!F17="簡易水道事業",IF([5]回答表!X45="●",[5]回答表!B212,IF([5]回答表!AA45="●",[5]回答表!B278,"")),"")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IF([5]回答表!F17="簡易水道事業",IF([5]回答表!X45="●","●",""),"")</f>
        <v/>
      </c>
      <c r="O112" s="131"/>
      <c r="P112" s="131"/>
      <c r="Q112" s="132"/>
      <c r="R112" s="119"/>
      <c r="S112" s="119"/>
      <c r="T112" s="119"/>
      <c r="U112" s="82" t="str">
        <f>IF([5]回答表!F17="簡易水道事業",IF([5]回答表!X45="●",[5]回答表!Y185,IF([5]回答表!AA45="●",[5]回答表!Y251,"")),"")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IF([5]回答表!F17="簡易水道事業",IF([5]回答表!X45="●",[5]回答表!E212,IF([5]回答表!AA45="●",[5]回答表!E278,"")),"")</f>
        <v/>
      </c>
      <c r="BG113" s="151"/>
      <c r="BH113" s="151"/>
      <c r="BI113" s="151"/>
      <c r="BJ113" s="150" t="str">
        <f>IF([5]回答表!F17="簡易水道事業",IF([5]回答表!X45="●",[5]回答表!E213,IF([5]回答表!AA45="●",[5]回答表!E279,"")),"")</f>
        <v/>
      </c>
      <c r="BK113" s="151"/>
      <c r="BL113" s="151"/>
      <c r="BM113" s="151"/>
      <c r="BN113" s="150" t="str">
        <f>IF([5]回答表!F17="簡易水道事業",IF([5]回答表!X45="●",[5]回答表!E214,IF([5]回答表!AA45="●",[5]回答表!E280,"")),"")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IF([5]回答表!F17="簡易水道事業",IF([5]回答表!X45="●",[5]回答表!Y186,IF([5]回答表!AA45="●",[5]回答表!Y252,"")),"")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IF([5]回答表!F17="簡易水道事業",IF([5]回答表!AA45="●","●",""),"")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IF([5]回答表!F17="簡易水道事業",IF([5]回答表!X45="●",[5]回答表!Y187,IF([5]回答表!AA45="●",[5]回答表!Y253,"")),"")</f>
        <v/>
      </c>
      <c r="V122" s="83"/>
      <c r="W122" s="83"/>
      <c r="X122" s="83"/>
      <c r="Y122" s="83"/>
      <c r="Z122" s="83"/>
      <c r="AA122" s="83"/>
      <c r="AB122" s="83"/>
      <c r="AC122" s="83"/>
      <c r="AD122" s="83"/>
      <c r="AE122" s="83"/>
      <c r="AF122" s="83"/>
      <c r="AG122" s="83"/>
      <c r="AH122" s="83"/>
      <c r="AI122" s="83"/>
      <c r="AJ122" s="153"/>
      <c r="AK122" s="68"/>
      <c r="AL122" s="68"/>
      <c r="AM122" s="233" t="str">
        <f>IF([5]回答表!F17="簡易水道事業",IF([5]回答表!X45="●",[5]回答表!Y189,IF([5]回答表!AA45="●",[5]回答表!Y255,"")),"")</f>
        <v/>
      </c>
      <c r="AN122" s="233"/>
      <c r="AO122" s="233"/>
      <c r="AP122" s="233"/>
      <c r="AQ122" s="233"/>
      <c r="AR122" s="233"/>
      <c r="AS122" s="233" t="str">
        <f>IF([5]回答表!F17="簡易水道事業",IF([5]回答表!X45="●",[5]回答表!Y190,IF([5]回答表!AA45="●",[5]回答表!Y256,"")),"")</f>
        <v/>
      </c>
      <c r="AT122" s="233"/>
      <c r="AU122" s="233"/>
      <c r="AV122" s="233"/>
      <c r="AW122" s="233"/>
      <c r="AX122" s="233"/>
      <c r="AY122" s="233" t="str">
        <f>IF([5]回答表!F17="簡易水道事業",IF([5]回答表!X45="●",[5]回答表!Y191,IF([5]回答表!AA45="●",[5]回答表!Y257,"")),"")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IF([5]回答表!F17="簡易水道事業",IF([5]回答表!AD45="●","●",""),"")</f>
        <v/>
      </c>
      <c r="O127" s="131"/>
      <c r="P127" s="131"/>
      <c r="Q127" s="132"/>
      <c r="R127" s="119"/>
      <c r="S127" s="119"/>
      <c r="T127" s="119"/>
      <c r="U127" s="133" t="str">
        <f>IF([5]回答表!F17="簡易水道事業",IF([5]回答表!AD45="●",[5]回答表!B289,""),"")</f>
        <v/>
      </c>
      <c r="V127" s="134"/>
      <c r="W127" s="134"/>
      <c r="X127" s="134"/>
      <c r="Y127" s="134"/>
      <c r="Z127" s="134"/>
      <c r="AA127" s="134"/>
      <c r="AB127" s="134"/>
      <c r="AC127" s="134"/>
      <c r="AD127" s="134"/>
      <c r="AE127" s="134"/>
      <c r="AF127" s="134"/>
      <c r="AG127" s="134"/>
      <c r="AH127" s="134"/>
      <c r="AI127" s="134"/>
      <c r="AJ127" s="135"/>
      <c r="AK127" s="183"/>
      <c r="AL127" s="183"/>
      <c r="AM127" s="133" t="str">
        <f>IF([5]回答表!F17="簡易水道事業",IF([5]回答表!AD45="●",[5]回答表!B295,""),"")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IF([5]回答表!F17="下水道事業",IF([5]回答表!X45="●","●",""),"")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IF([5]回答表!F17="下水道事業",IF([5]回答表!X45="●",[5]回答表!B158,IF([5]回答表!AA45="●",[5]回答表!B223,"")),"")</f>
        <v>特定環境公共下水道処理施設を廃止し、公共下水道処理施設に統合する計画で、令和６年度に工事を行うこととしている。処理施設数が減ることで維持管理費用が減少すると見込んでいる。</v>
      </c>
      <c r="AN139" s="201"/>
      <c r="AO139" s="201"/>
      <c r="AP139" s="201"/>
      <c r="AQ139" s="201"/>
      <c r="AR139" s="201"/>
      <c r="AS139" s="201"/>
      <c r="AT139" s="201"/>
      <c r="AU139" s="201"/>
      <c r="AV139" s="201"/>
      <c r="AW139" s="201"/>
      <c r="AX139" s="201"/>
      <c r="AY139" s="201"/>
      <c r="AZ139" s="201"/>
      <c r="BA139" s="201"/>
      <c r="BB139" s="201"/>
      <c r="BC139" s="202"/>
      <c r="BD139" s="109"/>
      <c r="BE139" s="109"/>
      <c r="BF139" s="138" t="str">
        <f>IF([5]回答表!F17="下水道事業",IF([5]回答表!X45="●",[5]回答表!B212,IF([5]回答表!AA45="●",[5]回答表!B278,"")),"")</f>
        <v>令和</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IF([5]回答表!F17="下水道事業",IF([5]回答表!X45="●",[5]回答表!Y193,IF([5]回答表!AA45="●",[5]回答表!Y259,"")),"")</f>
        <v>●</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f>IF([5]回答表!F17="下水道事業",IF([5]回答表!X45="●",[5]回答表!E212,IF([5]回答表!AA45="●",[5]回答表!E278,"")),"")</f>
        <v>7</v>
      </c>
      <c r="BG142" s="151"/>
      <c r="BH142" s="151"/>
      <c r="BI142" s="151"/>
      <c r="BJ142" s="150">
        <f>IF([5]回答表!F17="下水道事業",IF([5]回答表!X45="●",[5]回答表!E213,IF([5]回答表!AA45="●",[5]回答表!E279,"")),"")</f>
        <v>4</v>
      </c>
      <c r="BK142" s="151"/>
      <c r="BL142" s="151"/>
      <c r="BM142" s="151"/>
      <c r="BN142" s="150">
        <f>IF([5]回答表!F17="下水道事業",IF([5]回答表!X45="●",[5]回答表!E214,IF([5]回答表!AA45="●",[5]回答表!E280,"")),"")</f>
        <v>1</v>
      </c>
      <c r="BO142" s="151"/>
      <c r="BP142" s="151"/>
      <c r="BQ142" s="152"/>
      <c r="BR142" s="112"/>
      <c r="BX142" s="200" t="str">
        <f>IF([5]回答表!AQ20="下水道事業",IF([5]回答表!BI48="○",[5]回答表!AM161,IF([5]回答表!BL48="○",[5]回答表!AM226,"")),"")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IF([5]回答表!F17="下水道事業",IF([5]回答表!X45="●",[5]回答表!Y195,IF([5]回答表!AA45="●",[5]回答表!Y261,"")),"")</f>
        <v>●</v>
      </c>
      <c r="V147" s="83"/>
      <c r="W147" s="83"/>
      <c r="X147" s="83"/>
      <c r="Y147" s="83"/>
      <c r="Z147" s="83"/>
      <c r="AA147" s="83"/>
      <c r="AB147" s="153"/>
      <c r="AC147" s="82" t="str">
        <f>IF([5]回答表!F17="下水道事業",IF([5]回答表!X45="●",[5]回答表!Y196,IF([5]回答表!AA45="●",[5]回答表!Y262,"")),"")</f>
        <v xml:space="preserve">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IF([5]回答表!F17="下水道事業",IF([5]回答表!X45="●",[5]回答表!Y198,IF([5]回答表!AA45="●",[5]回答表!Y264,"")),"")</f>
        <v xml:space="preserve"> </v>
      </c>
      <c r="V153" s="83"/>
      <c r="W153" s="83"/>
      <c r="X153" s="83"/>
      <c r="Y153" s="83"/>
      <c r="Z153" s="83"/>
      <c r="AA153" s="83"/>
      <c r="AB153" s="153"/>
      <c r="AC153" s="82" t="str">
        <f>IF([5]回答表!F17="下水道事業",IF([5]回答表!X45="●",[5]回答表!Y199,IF([5]回答表!AA45="●",[5]回答表!Y265,"")),"")</f>
        <v xml:space="preserve"> </v>
      </c>
      <c r="AD153" s="83"/>
      <c r="AE153" s="83"/>
      <c r="AF153" s="83"/>
      <c r="AG153" s="83"/>
      <c r="AH153" s="83"/>
      <c r="AI153" s="83"/>
      <c r="AJ153" s="153"/>
      <c r="AK153" s="82" t="str">
        <f>IF([5]回答表!F17="下水道事業",IF([5]回答表!X45="●",[5]回答表!Y200,IF([5]回答表!AA45="●",[5]回答表!Y266,"")),"")</f>
        <v xml:space="preserve"> </v>
      </c>
      <c r="AL153" s="83"/>
      <c r="AM153" s="83"/>
      <c r="AN153" s="83"/>
      <c r="AO153" s="83"/>
      <c r="AP153" s="83"/>
      <c r="AQ153" s="83"/>
      <c r="AR153" s="153"/>
      <c r="AS153" s="82" t="str">
        <f>IF([5]回答表!F17="下水道事業",IF([5]回答表!X45="●",[5]回答表!Y201,IF([5]回答表!AA45="●",[5]回答表!Y267,"")),"")</f>
        <v>●</v>
      </c>
      <c r="AT153" s="83"/>
      <c r="AU153" s="83"/>
      <c r="AV153" s="83"/>
      <c r="AW153" s="83"/>
      <c r="AX153" s="83"/>
      <c r="AY153" s="83"/>
      <c r="AZ153" s="153"/>
      <c r="BA153" s="82" t="str">
        <f>IF([5]回答表!F17="下水道事業",IF([5]回答表!X45="●",[5]回答表!Y202,IF([5]回答表!AA45="●",[5]回答表!Y268,"")),"")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IF([5]回答表!F17="下水道事業",IF([5]回答表!AA45="●","●",""),"")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IF([5]回答表!F17="下水道事業",IF([5]回答表!X45="●",[5]回答表!Y207,IF([5]回答表!AA45="●",[5]回答表!Y273,"")),"")</f>
        <v xml:space="preserve"> </v>
      </c>
      <c r="V159" s="83"/>
      <c r="W159" s="83"/>
      <c r="X159" s="83"/>
      <c r="Y159" s="83"/>
      <c r="Z159" s="83"/>
      <c r="AA159" s="83"/>
      <c r="AB159" s="153"/>
      <c r="AC159" s="82" t="str">
        <f>IF([5]回答表!F17="下水道事業",IF([5]回答表!X45="●",[5]回答表!Y208,IF([5]回答表!AA45="●",[5]回答表!Y274,"")),"")</f>
        <v xml:space="preserve"> </v>
      </c>
      <c r="AD159" s="83"/>
      <c r="AE159" s="83"/>
      <c r="AF159" s="83"/>
      <c r="AG159" s="83"/>
      <c r="AH159" s="83"/>
      <c r="AI159" s="83"/>
      <c r="AJ159" s="153"/>
      <c r="AK159" s="82" t="str">
        <f>IF([5]回答表!F17="下水道事業",IF([5]回答表!X45="●",[5]回答表!Y209,IF([5]回答表!AA45="●",[5]回答表!Y275,"")),"")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IF([5]回答表!F17="下水道事業",IF([5]回答表!AD45="●","●",""),"")</f>
        <v/>
      </c>
      <c r="O164" s="131"/>
      <c r="P164" s="131"/>
      <c r="Q164" s="132"/>
      <c r="R164" s="119"/>
      <c r="S164" s="119"/>
      <c r="T164" s="119"/>
      <c r="U164" s="133" t="str">
        <f>IF([5]回答表!F17="下水道事業",IF([5]回答表!AD45="●",[5]回答表!B289,""),"")</f>
        <v/>
      </c>
      <c r="V164" s="134"/>
      <c r="W164" s="134"/>
      <c r="X164" s="134"/>
      <c r="Y164" s="134"/>
      <c r="Z164" s="134"/>
      <c r="AA164" s="134"/>
      <c r="AB164" s="134"/>
      <c r="AC164" s="134"/>
      <c r="AD164" s="134"/>
      <c r="AE164" s="134"/>
      <c r="AF164" s="134"/>
      <c r="AG164" s="134"/>
      <c r="AH164" s="134"/>
      <c r="AI164" s="134"/>
      <c r="AJ164" s="135"/>
      <c r="AK164" s="183"/>
      <c r="AL164" s="183"/>
      <c r="AM164" s="133" t="str">
        <f>IF([5]回答表!F17="下水道事業",IF([5]回答表!AD45="●",[5]回答表!B295,""),"")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IF([5]回答表!BD17="●",IF([5]回答表!X45="●","●",""),"")</f>
        <v/>
      </c>
      <c r="O176" s="131"/>
      <c r="P176" s="131"/>
      <c r="Q176" s="132"/>
      <c r="R176" s="119"/>
      <c r="S176" s="119"/>
      <c r="T176" s="119"/>
      <c r="U176" s="133" t="str">
        <f>IF([5]回答表!BD17="●",IF([5]回答表!X45="●",[5]回答表!B158,IF([5]回答表!AA45="●",[5]回答表!B223,"")),"")</f>
        <v/>
      </c>
      <c r="V176" s="134"/>
      <c r="W176" s="134"/>
      <c r="X176" s="134"/>
      <c r="Y176" s="134"/>
      <c r="Z176" s="134"/>
      <c r="AA176" s="134"/>
      <c r="AB176" s="134"/>
      <c r="AC176" s="134"/>
      <c r="AD176" s="134"/>
      <c r="AE176" s="134"/>
      <c r="AF176" s="134"/>
      <c r="AG176" s="134"/>
      <c r="AH176" s="134"/>
      <c r="AI176" s="134"/>
      <c r="AJ176" s="135"/>
      <c r="AK176" s="136"/>
      <c r="AL176" s="136"/>
      <c r="AM176" s="138" t="str">
        <f>IF([5]回答表!BD17="●",IF([5]回答表!X45="●",[5]回答表!B212,IF([5]回答表!AA45="●",[5]回答表!B278,"")),"")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IF([5]回答表!BD17="●",IF([5]回答表!X45="●",[5]回答表!E212,IF([5]回答表!AA45="●",[5]回答表!E278,"")),"")</f>
        <v/>
      </c>
      <c r="AN179" s="151"/>
      <c r="AO179" s="151"/>
      <c r="AP179" s="151"/>
      <c r="AQ179" s="150" t="str">
        <f>IF([5]回答表!BD17="●",IF([5]回答表!X45="●",[5]回答表!E213,IF([5]回答表!AA45="●",[5]回答表!E279,"")),"")</f>
        <v/>
      </c>
      <c r="AR179" s="151"/>
      <c r="AS179" s="151"/>
      <c r="AT179" s="151"/>
      <c r="AU179" s="150" t="str">
        <f>IF([5]回答表!BD17="●",IF([5]回答表!X45="●",[5]回答表!E214,IF([5]回答表!AA45="●",[5]回答表!E280,"")),"")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IF([5]回答表!BD17="●",IF([5]回答表!AA45="●","●",""),"")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IF([5]回答表!BD17="●",IF([5]回答表!AD45="●","●",""),"")</f>
        <v/>
      </c>
      <c r="O188" s="131"/>
      <c r="P188" s="131"/>
      <c r="Q188" s="132"/>
      <c r="R188" s="119"/>
      <c r="S188" s="119"/>
      <c r="T188" s="119"/>
      <c r="U188" s="133" t="str">
        <f>IF([5]回答表!BD17="●",IF([5]回答表!AD45="●",[5]回答表!B289,""),"")</f>
        <v/>
      </c>
      <c r="V188" s="134"/>
      <c r="W188" s="134"/>
      <c r="X188" s="134"/>
      <c r="Y188" s="134"/>
      <c r="Z188" s="134"/>
      <c r="AA188" s="134"/>
      <c r="AB188" s="134"/>
      <c r="AC188" s="134"/>
      <c r="AD188" s="134"/>
      <c r="AE188" s="134"/>
      <c r="AF188" s="134"/>
      <c r="AG188" s="134"/>
      <c r="AH188" s="134"/>
      <c r="AI188" s="134"/>
      <c r="AJ188" s="135"/>
      <c r="AK188" s="183"/>
      <c r="AL188" s="183"/>
      <c r="AM188" s="133" t="str">
        <f>IF([5]回答表!BD17="●",IF([5]回答表!AD45="●",[5]回答表!B295,""),"")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IF([5]回答表!X46="●","●","")</f>
        <v/>
      </c>
      <c r="O200" s="131"/>
      <c r="P200" s="131"/>
      <c r="Q200" s="132"/>
      <c r="R200" s="119"/>
      <c r="S200" s="119"/>
      <c r="T200" s="119"/>
      <c r="U200" s="133" t="str">
        <f>IF([5]回答表!X46="●",[5]回答表!B307,IF([5]回答表!AA46="●",[5]回答表!B324,""))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IF([5]回答表!X46="●",[5]回答表!U313,IF([5]回答表!AA46="●",[5]回答表!U330,""))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IF([5]回答表!X46="●",[5]回答表!G313,IF([5]回答表!AA46="●",[5]回答表!G330,""))</f>
        <v/>
      </c>
      <c r="AN203" s="83"/>
      <c r="AO203" s="83"/>
      <c r="AP203" s="83"/>
      <c r="AQ203" s="83"/>
      <c r="AR203" s="83"/>
      <c r="AS203" s="83"/>
      <c r="AT203" s="153"/>
      <c r="AU203" s="82" t="str">
        <f>IF([5]回答表!X46="●",[5]回答表!G314,IF([5]回答表!AA46="●",[5]回答表!G331,""))</f>
        <v/>
      </c>
      <c r="AV203" s="83"/>
      <c r="AW203" s="83"/>
      <c r="AX203" s="83"/>
      <c r="AY203" s="83"/>
      <c r="AZ203" s="83"/>
      <c r="BA203" s="83"/>
      <c r="BB203" s="153"/>
      <c r="BC203" s="120"/>
      <c r="BD203" s="109"/>
      <c r="BE203" s="109"/>
      <c r="BF203" s="150" t="str">
        <f>IF([5]回答表!X46="●",[5]回答表!X313,IF([5]回答表!AA46="●",[5]回答表!X330,""))</f>
        <v/>
      </c>
      <c r="BG203" s="151"/>
      <c r="BH203" s="151"/>
      <c r="BI203" s="151"/>
      <c r="BJ203" s="150" t="str">
        <f>IF([5]回答表!X46="●",[5]回答表!X314,IF([5]回答表!AA46="●",[5]回答表!X331,""))</f>
        <v/>
      </c>
      <c r="BK203" s="151"/>
      <c r="BL203" s="151"/>
      <c r="BM203" s="152"/>
      <c r="BN203" s="150" t="str">
        <f>IF([5]回答表!X46="●",[5]回答表!X315,IF([5]回答表!AA46="●",[5]回答表!X332,""))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IF([5]回答表!AD46="●","●","")</f>
        <v/>
      </c>
      <c r="O212" s="131"/>
      <c r="P212" s="131"/>
      <c r="Q212" s="132"/>
      <c r="R212" s="119"/>
      <c r="S212" s="119"/>
      <c r="T212" s="119"/>
      <c r="U212" s="133" t="str">
        <f>IF([5]回答表!AD46="●",[5]回答表!B337,"")</f>
        <v/>
      </c>
      <c r="V212" s="134"/>
      <c r="W212" s="134"/>
      <c r="X212" s="134"/>
      <c r="Y212" s="134"/>
      <c r="Z212" s="134"/>
      <c r="AA212" s="134"/>
      <c r="AB212" s="134"/>
      <c r="AC212" s="134"/>
      <c r="AD212" s="134"/>
      <c r="AE212" s="134"/>
      <c r="AF212" s="134"/>
      <c r="AG212" s="134"/>
      <c r="AH212" s="134"/>
      <c r="AI212" s="134"/>
      <c r="AJ212" s="135"/>
      <c r="AK212" s="259"/>
      <c r="AL212" s="259"/>
      <c r="AM212" s="133" t="str">
        <f>IF([5]回答表!AD46="●",[5]回答表!B343,"")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IF([5]回答表!X47="●","●","")</f>
        <v/>
      </c>
      <c r="O224" s="131"/>
      <c r="P224" s="131"/>
      <c r="Q224" s="132"/>
      <c r="R224" s="119"/>
      <c r="S224" s="119"/>
      <c r="T224" s="119"/>
      <c r="U224" s="133" t="str">
        <f>IF([5]回答表!X47="●",[5]回答表!B356,IF([5]回答表!AA47="●",[5]回答表!B379,""))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IF([5]回答表!X47="●",[5]回答表!B362,"")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IF([5]回答表!X47="●",[5]回答表!B368,IF([5]回答表!AA47="●",[5]回答表!B385,""))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IF([5]回答表!X47="●",[5]回答表!E368,IF([5]回答表!AA47="●",[5]回答表!E385,""))</f>
        <v/>
      </c>
      <c r="BG227" s="151"/>
      <c r="BH227" s="151"/>
      <c r="BI227" s="151"/>
      <c r="BJ227" s="150" t="str">
        <f>IF([5]回答表!X47="●",[5]回答表!E369,IF([5]回答表!AA47="●",[5]回答表!E386,""))</f>
        <v/>
      </c>
      <c r="BK227" s="151"/>
      <c r="BL227" s="151"/>
      <c r="BM227" s="152"/>
      <c r="BN227" s="150" t="str">
        <f>IF([5]回答表!X47="●",[5]回答表!E370,IF([5]回答表!AA47="●",[5]回答表!E387,""))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IF([5]回答表!AD47="●","●","")</f>
        <v/>
      </c>
      <c r="O236" s="131"/>
      <c r="P236" s="131"/>
      <c r="Q236" s="132"/>
      <c r="R236" s="119"/>
      <c r="S236" s="119"/>
      <c r="T236" s="119"/>
      <c r="U236" s="133" t="str">
        <f>IF([5]回答表!AD47="●",[5]回答表!B392,"")</f>
        <v/>
      </c>
      <c r="V236" s="134"/>
      <c r="W236" s="134"/>
      <c r="X236" s="134"/>
      <c r="Y236" s="134"/>
      <c r="Z236" s="134"/>
      <c r="AA236" s="134"/>
      <c r="AB236" s="134"/>
      <c r="AC236" s="134"/>
      <c r="AD236" s="134"/>
      <c r="AE236" s="134"/>
      <c r="AF236" s="134"/>
      <c r="AG236" s="134"/>
      <c r="AH236" s="134"/>
      <c r="AI236" s="134"/>
      <c r="AJ236" s="135"/>
      <c r="AK236" s="259"/>
      <c r="AL236" s="259"/>
      <c r="AM236" s="133" t="str">
        <f>IF([5]回答表!AD47="●",[5]回答表!B398,"")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IF([5]回答表!X48="●","●","")</f>
        <v/>
      </c>
      <c r="O248" s="131"/>
      <c r="P248" s="131"/>
      <c r="Q248" s="132"/>
      <c r="R248" s="119"/>
      <c r="S248" s="119"/>
      <c r="T248" s="119"/>
      <c r="U248" s="133" t="str">
        <f>IF([5]回答表!X48="●",[5]回答表!B411,IF([5]回答表!AA48="●",[5]回答表!B425,""))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IF([5]回答表!X48="●",[5]回答表!BC418,IF([5]回答表!AA48="●",[5]回答表!BC432,""))</f>
        <v/>
      </c>
      <c r="AR248" s="272"/>
      <c r="AS248" s="272"/>
      <c r="AT248" s="272"/>
      <c r="AU248" s="273" t="s">
        <v>73</v>
      </c>
      <c r="AV248" s="274"/>
      <c r="AW248" s="274"/>
      <c r="AX248" s="275"/>
      <c r="AY248" s="272" t="str">
        <f>IF([5]回答表!X48="●",[5]回答表!BC423,IF([5]回答表!AA48="●",[5]回答表!BC437,""))</f>
        <v/>
      </c>
      <c r="AZ248" s="272"/>
      <c r="BA248" s="272"/>
      <c r="BB248" s="272"/>
      <c r="BC248" s="120"/>
      <c r="BD248" s="109"/>
      <c r="BE248" s="109"/>
      <c r="BF248" s="138" t="str">
        <f>IF([5]回答表!X48="●",[5]回答表!S417,IF([5]回答表!AA48="●",[5]回答表!S431,""))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IF([5]回答表!X48="●",[5]回答表!BC419,IF([5]回答表!AA48="●",[5]回答表!BC433,""))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IF([5]回答表!X48="●",[5]回答表!V417,IF([5]回答表!AA48="●",[5]回答表!V431,""))</f>
        <v/>
      </c>
      <c r="BG251" s="151"/>
      <c r="BH251" s="151"/>
      <c r="BI251" s="151"/>
      <c r="BJ251" s="150" t="str">
        <f>IF([5]回答表!X48="●",[5]回答表!V418,IF([5]回答表!AA48="●",[5]回答表!V432,""))</f>
        <v/>
      </c>
      <c r="BK251" s="151"/>
      <c r="BL251" s="151"/>
      <c r="BM251" s="152"/>
      <c r="BN251" s="150" t="str">
        <f>IF([5]回答表!X48="●",[5]回答表!V419,IF([5]回答表!AA48="●",[5]回答表!V433,""))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IF([5]回答表!X48="●",[5]回答表!BC420,IF([5]回答表!AA48="●",[5]回答表!BC434,""))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IF([5]回答表!X48="●",[5]回答表!BC424,IF([5]回答表!AA48="●",[5]回答表!BC438,""))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IF([5]回答表!X48="●",[5]回答表!BC421,IF([5]回答表!AA48="●",[5]回答表!BC435,""))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IF([5]回答表!X48="●",[5]回答表!BC422,IF([5]回答表!AA48="●",[5]回答表!BC436,""))</f>
        <v/>
      </c>
      <c r="AR256" s="272"/>
      <c r="AS256" s="272"/>
      <c r="AT256" s="272"/>
      <c r="AU256" s="224" t="s">
        <v>79</v>
      </c>
      <c r="AV256" s="225"/>
      <c r="AW256" s="225"/>
      <c r="AX256" s="226"/>
      <c r="AY256" s="282" t="str">
        <f>IF([5]回答表!X48="●",[5]回答表!BC425,IF([5]回答表!AA48="●",[5]回答表!BC439,""))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IF([5]回答表!AD48="●","●","")</f>
        <v/>
      </c>
      <c r="O260" s="131"/>
      <c r="P260" s="131"/>
      <c r="Q260" s="132"/>
      <c r="R260" s="119"/>
      <c r="S260" s="119"/>
      <c r="T260" s="119"/>
      <c r="U260" s="133" t="str">
        <f>IF([5]回答表!AD48="●",[5]回答表!B439,"")</f>
        <v/>
      </c>
      <c r="V260" s="134"/>
      <c r="W260" s="134"/>
      <c r="X260" s="134"/>
      <c r="Y260" s="134"/>
      <c r="Z260" s="134"/>
      <c r="AA260" s="134"/>
      <c r="AB260" s="134"/>
      <c r="AC260" s="134"/>
      <c r="AD260" s="134"/>
      <c r="AE260" s="134"/>
      <c r="AF260" s="134"/>
      <c r="AG260" s="134"/>
      <c r="AH260" s="134"/>
      <c r="AI260" s="134"/>
      <c r="AJ260" s="135"/>
      <c r="AK260" s="183"/>
      <c r="AL260" s="183"/>
      <c r="AM260" s="133" t="str">
        <f>IF([5]回答表!AD48="●",[5]回答表!B445,"")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IF([5]回答表!X49="●","●","")</f>
        <v/>
      </c>
      <c r="O271" s="131"/>
      <c r="P271" s="131"/>
      <c r="Q271" s="132"/>
      <c r="R271" s="119"/>
      <c r="S271" s="119"/>
      <c r="T271" s="119"/>
      <c r="U271" s="133" t="str">
        <f>IF([5]回答表!X49="●",[5]回答表!B458,IF([5]回答表!AA49="●",[5]回答表!B475,""))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IF([5]回答表!X49="●",[5]回答表!B468,IF([5]回答表!AA49="●",[5]回答表!B485,""))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IF([5]回答表!X49="●",[5]回答表!G464,IF([5]回答表!AA49="●",[5]回答表!G481,""))</f>
        <v/>
      </c>
      <c r="AN273" s="83"/>
      <c r="AO273" s="83"/>
      <c r="AP273" s="83"/>
      <c r="AQ273" s="83"/>
      <c r="AR273" s="83"/>
      <c r="AS273" s="83"/>
      <c r="AT273" s="153"/>
      <c r="AU273" s="82" t="str">
        <f>IF([5]回答表!X49="●",[5]回答表!G465,IF([5]回答表!AA49="●",[5]回答表!G482,""))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IF([5]回答表!X49="●",[5]回答表!E468,IF([5]回答表!AA49="●",[5]回答表!E485,""))</f>
        <v/>
      </c>
      <c r="BG274" s="151"/>
      <c r="BH274" s="151"/>
      <c r="BI274" s="151"/>
      <c r="BJ274" s="150" t="str">
        <f>IF([5]回答表!X49="●",[5]回答表!E469,IF([5]回答表!AA49="●",[5]回答表!E486,""))</f>
        <v/>
      </c>
      <c r="BK274" s="151"/>
      <c r="BL274" s="151"/>
      <c r="BM274" s="152"/>
      <c r="BN274" s="150" t="str">
        <f>IF([5]回答表!X49="●",[5]回答表!E470,IF([5]回答表!AA49="●",[5]回答表!E487,""))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IF([5]回答表!AD49="●","●","")</f>
        <v/>
      </c>
      <c r="O283" s="131"/>
      <c r="P283" s="131"/>
      <c r="Q283" s="132"/>
      <c r="R283" s="119"/>
      <c r="S283" s="119"/>
      <c r="T283" s="119"/>
      <c r="U283" s="133" t="str">
        <f>IF([5]回答表!AD49="●",[5]回答表!B492,"")</f>
        <v/>
      </c>
      <c r="V283" s="134"/>
      <c r="W283" s="134"/>
      <c r="X283" s="134"/>
      <c r="Y283" s="134"/>
      <c r="Z283" s="134"/>
      <c r="AA283" s="134"/>
      <c r="AB283" s="134"/>
      <c r="AC283" s="134"/>
      <c r="AD283" s="134"/>
      <c r="AE283" s="134"/>
      <c r="AF283" s="134"/>
      <c r="AG283" s="134"/>
      <c r="AH283" s="134"/>
      <c r="AI283" s="134"/>
      <c r="AJ283" s="135"/>
      <c r="AK283" s="136"/>
      <c r="AL283" s="136"/>
      <c r="AM283" s="133" t="str">
        <f>IF([5]回答表!AD49="●",[5]回答表!B498,"")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IF([5]回答表!R50="●",[5]回答表!B511,"")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3" priority="2">
      <formula>$BB$25="○"</formula>
    </cfRule>
  </conditionalFormatting>
  <conditionalFormatting sqref="BD28:BD30">
    <cfRule type="expression" dxfId="2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ED6CB-A9AD-4942-ADBF-D6171FD56359}">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IF(COUNTIF([6]回答表!K15,"*")&gt;0,[6]回答表!K15,"")</f>
        <v>由利本荘市</v>
      </c>
      <c r="D11" s="8"/>
      <c r="E11" s="8"/>
      <c r="F11" s="8"/>
      <c r="G11" s="8"/>
      <c r="H11" s="8"/>
      <c r="I11" s="8"/>
      <c r="J11" s="8"/>
      <c r="K11" s="8"/>
      <c r="L11" s="8"/>
      <c r="M11" s="8"/>
      <c r="N11" s="8"/>
      <c r="O11" s="8"/>
      <c r="P11" s="8"/>
      <c r="Q11" s="8"/>
      <c r="R11" s="8"/>
      <c r="S11" s="8"/>
      <c r="T11" s="8"/>
      <c r="U11" s="22" t="str">
        <f>IF(COUNTIF([6]回答表!F17,"*")&gt;0,[6]回答表!F17,"")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IF(COUNTIF([6]回答表!W17,"*")&gt;0,[6]回答表!W17,"")</f>
        <v>農業集落排水施設</v>
      </c>
      <c r="AP11" s="10"/>
      <c r="AQ11" s="10"/>
      <c r="AR11" s="10"/>
      <c r="AS11" s="10"/>
      <c r="AT11" s="10"/>
      <c r="AU11" s="10"/>
      <c r="AV11" s="10"/>
      <c r="AW11" s="10"/>
      <c r="AX11" s="10"/>
      <c r="AY11" s="10"/>
      <c r="AZ11" s="10"/>
      <c r="BA11" s="10"/>
      <c r="BB11" s="10"/>
      <c r="BC11" s="10"/>
      <c r="BD11" s="10"/>
      <c r="BE11" s="10"/>
      <c r="BF11" s="11"/>
      <c r="BG11" s="21" t="str">
        <f>IF(COUNTIF([6]回答表!F19,"*")&gt;0,[6]回答表!F19,"")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IF([6]回答表!R43="●","●","")</f>
        <v/>
      </c>
      <c r="E24" s="80"/>
      <c r="F24" s="80"/>
      <c r="G24" s="80"/>
      <c r="H24" s="80"/>
      <c r="I24" s="80"/>
      <c r="J24" s="81"/>
      <c r="K24" s="79" t="str">
        <f>IF([6]回答表!R44="●","●","")</f>
        <v/>
      </c>
      <c r="L24" s="80"/>
      <c r="M24" s="80"/>
      <c r="N24" s="80"/>
      <c r="O24" s="80"/>
      <c r="P24" s="80"/>
      <c r="Q24" s="81"/>
      <c r="R24" s="79" t="str">
        <f>IF([6]回答表!R45="●","●","")</f>
        <v>●</v>
      </c>
      <c r="S24" s="80"/>
      <c r="T24" s="80"/>
      <c r="U24" s="80"/>
      <c r="V24" s="80"/>
      <c r="W24" s="80"/>
      <c r="X24" s="81"/>
      <c r="Y24" s="79" t="str">
        <f>IF([6]回答表!R46="●","●","")</f>
        <v/>
      </c>
      <c r="Z24" s="80"/>
      <c r="AA24" s="80"/>
      <c r="AB24" s="80"/>
      <c r="AC24" s="80"/>
      <c r="AD24" s="80"/>
      <c r="AE24" s="81"/>
      <c r="AF24" s="79" t="str">
        <f>IF([6]回答表!R47="●","●","")</f>
        <v/>
      </c>
      <c r="AG24" s="80"/>
      <c r="AH24" s="80"/>
      <c r="AI24" s="80"/>
      <c r="AJ24" s="80"/>
      <c r="AK24" s="80"/>
      <c r="AL24" s="81"/>
      <c r="AM24" s="79" t="str">
        <f>IF([6]回答表!R48="●","●","")</f>
        <v/>
      </c>
      <c r="AN24" s="80"/>
      <c r="AO24" s="80"/>
      <c r="AP24" s="80"/>
      <c r="AQ24" s="80"/>
      <c r="AR24" s="80"/>
      <c r="AS24" s="81"/>
      <c r="AT24" s="79" t="str">
        <f>IF([6]回答表!R49="●","●","")</f>
        <v/>
      </c>
      <c r="AU24" s="80"/>
      <c r="AV24" s="80"/>
      <c r="AW24" s="80"/>
      <c r="AX24" s="80"/>
      <c r="AY24" s="80"/>
      <c r="AZ24" s="81"/>
      <c r="BA24" s="68"/>
      <c r="BB24" s="82" t="str">
        <f>IF([6]回答表!R50="●","●","")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IF([6]回答表!X43="●","●","")</f>
        <v/>
      </c>
      <c r="O36" s="131"/>
      <c r="P36" s="131"/>
      <c r="Q36" s="132"/>
      <c r="R36" s="119"/>
      <c r="S36" s="119"/>
      <c r="T36" s="119"/>
      <c r="U36" s="133" t="str">
        <f>IF([6]回答表!X43="●",[6]回答表!B59,IF([6]回答表!AA43="●",[6]回答表!B79,""))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IF([6]回答表!X43="●",[6]回答表!S65,IF([6]回答表!AA43="●",[6]回答表!S85,""))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IF([6]回答表!X43="●",[6]回答表!G65,IF([6]回答表!AA43="●",[6]回答表!G85,""))</f>
        <v/>
      </c>
      <c r="AN38" s="83"/>
      <c r="AO38" s="83"/>
      <c r="AP38" s="83"/>
      <c r="AQ38" s="83"/>
      <c r="AR38" s="83"/>
      <c r="AS38" s="83"/>
      <c r="AT38" s="153"/>
      <c r="AU38" s="82" t="str">
        <f>IF([6]回答表!X43="●",[6]回答表!G66,IF([6]回答表!AA43="●",[6]回答表!G86,""))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IF([6]回答表!X43="●",[6]回答表!V65,IF([6]回答表!AA43="●",[6]回答表!V85,""))</f>
        <v/>
      </c>
      <c r="BG39" s="16"/>
      <c r="BH39" s="16"/>
      <c r="BI39" s="17"/>
      <c r="BJ39" s="150" t="str">
        <f>IF([6]回答表!X43="●",[6]回答表!V66,IF([6]回答表!AA43="●",[6]回答表!V86,""))</f>
        <v/>
      </c>
      <c r="BK39" s="16"/>
      <c r="BL39" s="16"/>
      <c r="BM39" s="17"/>
      <c r="BN39" s="150" t="str">
        <f>IF([6]回答表!X43="●",[6]回答表!V67,IF([6]回答表!AA43="●",[6]回答表!V87,""))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IF([6]回答表!X43="●",[6]回答表!O71,IF([6]回答表!AA43="●",[6]回答表!O91,""))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IF([6]回答表!X43="●",[6]回答表!O72,IF([6]回答表!AA43="●",[6]回答表!O92,""))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IF([6]回答表!AA43="●","●","")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IF([6]回答表!X43="●",[6]回答表!O73,IF([6]回答表!AA43="●",[6]回答表!O93,""))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IF([6]回答表!X43="●",[6]回答表!O74,IF([6]回答表!AA43="●",[6]回答表!O94,""))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IF([6]回答表!X43="●",[6]回答表!AG71,IF([6]回答表!AA43="●",[6]回答表!AG91,""))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IF([6]回答表!X43="●",[6]回答表!AG72,IF([6]回答表!AA43="●",[6]回答表!AG92,""))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IF([6]回答表!AD43="●","●","")</f>
        <v/>
      </c>
      <c r="O51" s="131"/>
      <c r="P51" s="131"/>
      <c r="Q51" s="132"/>
      <c r="R51" s="119"/>
      <c r="S51" s="119"/>
      <c r="T51" s="119"/>
      <c r="U51" s="133" t="str">
        <f>IF([6]回答表!AD43="●",[6]回答表!B99,"")</f>
        <v/>
      </c>
      <c r="V51" s="134"/>
      <c r="W51" s="134"/>
      <c r="X51" s="134"/>
      <c r="Y51" s="134"/>
      <c r="Z51" s="134"/>
      <c r="AA51" s="134"/>
      <c r="AB51" s="134"/>
      <c r="AC51" s="134"/>
      <c r="AD51" s="134"/>
      <c r="AE51" s="134"/>
      <c r="AF51" s="134"/>
      <c r="AG51" s="134"/>
      <c r="AH51" s="134"/>
      <c r="AI51" s="134"/>
      <c r="AJ51" s="135"/>
      <c r="AK51" s="183"/>
      <c r="AL51" s="183"/>
      <c r="AM51" s="133" t="str">
        <f>IF([6]回答表!AD43="●",[6]回答表!B104,"")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IF([6]回答表!X44="●","●","")</f>
        <v/>
      </c>
      <c r="O62" s="131"/>
      <c r="P62" s="131"/>
      <c r="Q62" s="132"/>
      <c r="R62" s="119"/>
      <c r="S62" s="119"/>
      <c r="T62" s="119"/>
      <c r="U62" s="133" t="str">
        <f>IF([6]回答表!X44="●",[6]回答表!B115,IF([6]回答表!AA44="●",[6]回答表!B127,""))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IF([6]回答表!X44="●",[6]回答表!S121,IF([6]回答表!AA44="●",[6]回答表!S133,""))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IF([6]回答表!X44="●",[6]回答表!J121,IF([6]回答表!AA44="●",[6]回答表!J133,""))</f>
        <v/>
      </c>
      <c r="AN65" s="83"/>
      <c r="AO65" s="83"/>
      <c r="AP65" s="83"/>
      <c r="AQ65" s="83"/>
      <c r="AR65" s="83"/>
      <c r="AS65" s="83"/>
      <c r="AT65" s="153"/>
      <c r="AU65" s="82" t="str">
        <f>IF([6]回答表!X44="●",[6]回答表!J122,IF([6]回答表!AA44="●",[6]回答表!J134,""))</f>
        <v/>
      </c>
      <c r="AV65" s="83"/>
      <c r="AW65" s="83"/>
      <c r="AX65" s="83"/>
      <c r="AY65" s="83"/>
      <c r="AZ65" s="83"/>
      <c r="BA65" s="83"/>
      <c r="BB65" s="153"/>
      <c r="BC65" s="120"/>
      <c r="BD65" s="109"/>
      <c r="BE65" s="109"/>
      <c r="BF65" s="150" t="str">
        <f>IF([6]回答表!X44="●",[6]回答表!V121,IF([6]回答表!AA44="●",[6]回答表!V133,""))</f>
        <v/>
      </c>
      <c r="BG65" s="151"/>
      <c r="BH65" s="151"/>
      <c r="BI65" s="151"/>
      <c r="BJ65" s="150" t="str">
        <f>IF([6]回答表!X44="●",[6]回答表!V122,IF([6]回答表!AA44="●",[6]回答表!V134,""))</f>
        <v/>
      </c>
      <c r="BK65" s="151"/>
      <c r="BL65" s="151"/>
      <c r="BM65" s="151"/>
      <c r="BN65" s="150" t="str">
        <f>IF([6]回答表!X44="●",[6]回答表!V123,IF([6]回答表!AA44="●",[6]回答表!V135,""))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IF([6]回答表!AA44="●","●","")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IF([6]回答表!AD44="●","●","")</f>
        <v/>
      </c>
      <c r="O74" s="131"/>
      <c r="P74" s="131"/>
      <c r="Q74" s="132"/>
      <c r="R74" s="119"/>
      <c r="S74" s="119"/>
      <c r="T74" s="119"/>
      <c r="U74" s="133" t="str">
        <f>IF([6]回答表!AD44="●",[6]回答表!B140,"")</f>
        <v/>
      </c>
      <c r="V74" s="134"/>
      <c r="W74" s="134"/>
      <c r="X74" s="134"/>
      <c r="Y74" s="134"/>
      <c r="Z74" s="134"/>
      <c r="AA74" s="134"/>
      <c r="AB74" s="134"/>
      <c r="AC74" s="134"/>
      <c r="AD74" s="134"/>
      <c r="AE74" s="134"/>
      <c r="AF74" s="134"/>
      <c r="AG74" s="134"/>
      <c r="AH74" s="134"/>
      <c r="AI74" s="134"/>
      <c r="AJ74" s="135"/>
      <c r="AK74" s="183"/>
      <c r="AL74" s="183"/>
      <c r="AM74" s="133" t="str">
        <f>IF([6]回答表!AD44="●",[6]回答表!B146,"")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IF([6]回答表!F17="水道事業",IF([6]回答表!X45="●","●",""),"")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IF([6]回答表!F17="水道事業",IF([6]回答表!X45="●",[6]回答表!B158,IF([6]回答表!AA45="●",[6]回答表!B223,"")),"")</f>
        <v/>
      </c>
      <c r="AN86" s="201"/>
      <c r="AO86" s="201"/>
      <c r="AP86" s="201"/>
      <c r="AQ86" s="201"/>
      <c r="AR86" s="201"/>
      <c r="AS86" s="201"/>
      <c r="AT86" s="201"/>
      <c r="AU86" s="201"/>
      <c r="AV86" s="201"/>
      <c r="AW86" s="201"/>
      <c r="AX86" s="201"/>
      <c r="AY86" s="201"/>
      <c r="AZ86" s="201"/>
      <c r="BA86" s="201"/>
      <c r="BB86" s="201"/>
      <c r="BC86" s="202"/>
      <c r="BD86" s="109"/>
      <c r="BE86" s="109"/>
      <c r="BF86" s="138" t="str">
        <f>IF([6]回答表!F17="水道事業",IF([6]回答表!X45="●",[6]回答表!B212,IF([6]回答表!AA45="●",[6]回答表!B278,"")),"")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IF([6]回答表!F17="水道事業",IF([6]回答表!X45="●",[6]回答表!J166,IF([6]回答表!AA45="●",[6]回答表!J231,"")),"")</f>
        <v/>
      </c>
      <c r="V88" s="83"/>
      <c r="W88" s="83"/>
      <c r="X88" s="83"/>
      <c r="Y88" s="83"/>
      <c r="Z88" s="83"/>
      <c r="AA88" s="83"/>
      <c r="AB88" s="153"/>
      <c r="AC88" s="82" t="str">
        <f>IF([6]回答表!F17="水道事業",IF([6]回答表!X45="●",[6]回答表!J173,IF([6]回答表!AA45="●",[6]回答表!J238,"")),"")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IF([6]回答表!F17="水道事業",IF([6]回答表!X45="●",[6]回答表!E212,IF([6]回答表!AA45="●",[6]回答表!E278,"")),"")</f>
        <v/>
      </c>
      <c r="BG89" s="151"/>
      <c r="BH89" s="151"/>
      <c r="BI89" s="151"/>
      <c r="BJ89" s="150" t="str">
        <f>IF([6]回答表!F17="水道事業",IF([6]回答表!X45="●",[6]回答表!E213,IF([6]回答表!AA45="●",[6]回答表!E279,"")),"")</f>
        <v/>
      </c>
      <c r="BK89" s="151"/>
      <c r="BL89" s="151"/>
      <c r="BM89" s="151"/>
      <c r="BN89" s="150" t="str">
        <f>IF([6]回答表!F17="水道事業",IF([6]回答表!X45="●",[6]回答表!E214,IF([6]回答表!AA45="●",[6]回答表!E280,"")),"")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IF([6]回答表!F17="水道事業",IF([6]回答表!AA45="●","●",""),"")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IF([6]回答表!F17="水道事業",IF([6]回答表!X45="●",[6]回答表!J176,IF([6]回答表!AA45="●",[6]回答表!J241,"")),"")</f>
        <v/>
      </c>
      <c r="V93" s="83"/>
      <c r="W93" s="83"/>
      <c r="X93" s="83"/>
      <c r="Y93" s="83"/>
      <c r="Z93" s="83"/>
      <c r="AA93" s="83"/>
      <c r="AB93" s="153"/>
      <c r="AC93" s="82" t="str">
        <f>IF([6]回答表!F17="水道事業",IF([6]回答表!X45="●",[6]回答表!J180,IF([6]回答表!AA45="●",[6]回答表!J245,"")),"")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IF([6]回答表!F17="水道事業",IF([6]回答表!AD45="○","○",""),"")</f>
        <v/>
      </c>
      <c r="O98" s="131"/>
      <c r="P98" s="131"/>
      <c r="Q98" s="132"/>
      <c r="R98" s="119"/>
      <c r="S98" s="119"/>
      <c r="T98" s="119"/>
      <c r="U98" s="133" t="str">
        <f>IF([6]回答表!F17="水道事業",IF([6]回答表!AD45="●",[6]回答表!B289,""),"")</f>
        <v/>
      </c>
      <c r="V98" s="134"/>
      <c r="W98" s="134"/>
      <c r="X98" s="134"/>
      <c r="Y98" s="134"/>
      <c r="Z98" s="134"/>
      <c r="AA98" s="134"/>
      <c r="AB98" s="134"/>
      <c r="AC98" s="134"/>
      <c r="AD98" s="134"/>
      <c r="AE98" s="134"/>
      <c r="AF98" s="134"/>
      <c r="AG98" s="134"/>
      <c r="AH98" s="134"/>
      <c r="AI98" s="134"/>
      <c r="AJ98" s="135"/>
      <c r="AK98" s="183"/>
      <c r="AL98" s="183"/>
      <c r="AM98" s="133" t="str">
        <f>IF([6]回答表!F17="水道事業",IF([6]回答表!AD45="●",[6]回答表!B295,""),"")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IF([6]回答表!F17="簡易水道事業",IF([6]回答表!X45="●",[6]回答表!B158,IF([6]回答表!AA45="●",[6]回答表!B223,"")),"")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IF([6]回答表!F17="簡易水道事業",IF([6]回答表!X45="●",[6]回答表!B212,IF([6]回答表!AA45="●",[6]回答表!B278,"")),"")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IF([6]回答表!F17="簡易水道事業",IF([6]回答表!X45="●","●",""),"")</f>
        <v/>
      </c>
      <c r="O112" s="131"/>
      <c r="P112" s="131"/>
      <c r="Q112" s="132"/>
      <c r="R112" s="119"/>
      <c r="S112" s="119"/>
      <c r="T112" s="119"/>
      <c r="U112" s="82" t="str">
        <f>IF([6]回答表!F17="簡易水道事業",IF([6]回答表!X45="●",[6]回答表!Y185,IF([6]回答表!AA45="●",[6]回答表!Y251,"")),"")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IF([6]回答表!F17="簡易水道事業",IF([6]回答表!X45="●",[6]回答表!E212,IF([6]回答表!AA45="●",[6]回答表!E278,"")),"")</f>
        <v/>
      </c>
      <c r="BG113" s="151"/>
      <c r="BH113" s="151"/>
      <c r="BI113" s="151"/>
      <c r="BJ113" s="150" t="str">
        <f>IF([6]回答表!F17="簡易水道事業",IF([6]回答表!X45="●",[6]回答表!E213,IF([6]回答表!AA45="●",[6]回答表!E279,"")),"")</f>
        <v/>
      </c>
      <c r="BK113" s="151"/>
      <c r="BL113" s="151"/>
      <c r="BM113" s="151"/>
      <c r="BN113" s="150" t="str">
        <f>IF([6]回答表!F17="簡易水道事業",IF([6]回答表!X45="●",[6]回答表!E214,IF([6]回答表!AA45="●",[6]回答表!E280,"")),"")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IF([6]回答表!F17="簡易水道事業",IF([6]回答表!X45="●",[6]回答表!Y186,IF([6]回答表!AA45="●",[6]回答表!Y252,"")),"")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IF([6]回答表!F17="簡易水道事業",IF([6]回答表!AA45="●","●",""),"")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IF([6]回答表!F17="簡易水道事業",IF([6]回答表!X45="●",[6]回答表!Y187,IF([6]回答表!AA45="●",[6]回答表!Y253,"")),"")</f>
        <v/>
      </c>
      <c r="V122" s="83"/>
      <c r="W122" s="83"/>
      <c r="X122" s="83"/>
      <c r="Y122" s="83"/>
      <c r="Z122" s="83"/>
      <c r="AA122" s="83"/>
      <c r="AB122" s="83"/>
      <c r="AC122" s="83"/>
      <c r="AD122" s="83"/>
      <c r="AE122" s="83"/>
      <c r="AF122" s="83"/>
      <c r="AG122" s="83"/>
      <c r="AH122" s="83"/>
      <c r="AI122" s="83"/>
      <c r="AJ122" s="153"/>
      <c r="AK122" s="68"/>
      <c r="AL122" s="68"/>
      <c r="AM122" s="233" t="str">
        <f>IF([6]回答表!F17="簡易水道事業",IF([6]回答表!X45="●",[6]回答表!Y189,IF([6]回答表!AA45="●",[6]回答表!Y255,"")),"")</f>
        <v/>
      </c>
      <c r="AN122" s="233"/>
      <c r="AO122" s="233"/>
      <c r="AP122" s="233"/>
      <c r="AQ122" s="233"/>
      <c r="AR122" s="233"/>
      <c r="AS122" s="233" t="str">
        <f>IF([6]回答表!F17="簡易水道事業",IF([6]回答表!X45="●",[6]回答表!Y190,IF([6]回答表!AA45="●",[6]回答表!Y256,"")),"")</f>
        <v/>
      </c>
      <c r="AT122" s="233"/>
      <c r="AU122" s="233"/>
      <c r="AV122" s="233"/>
      <c r="AW122" s="233"/>
      <c r="AX122" s="233"/>
      <c r="AY122" s="233" t="str">
        <f>IF([6]回答表!F17="簡易水道事業",IF([6]回答表!X45="●",[6]回答表!Y191,IF([6]回答表!AA45="●",[6]回答表!Y257,"")),"")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IF([6]回答表!F17="簡易水道事業",IF([6]回答表!AD45="●","●",""),"")</f>
        <v/>
      </c>
      <c r="O127" s="131"/>
      <c r="P127" s="131"/>
      <c r="Q127" s="132"/>
      <c r="R127" s="119"/>
      <c r="S127" s="119"/>
      <c r="T127" s="119"/>
      <c r="U127" s="133" t="str">
        <f>IF([6]回答表!F17="簡易水道事業",IF([6]回答表!AD45="●",[6]回答表!B289,""),"")</f>
        <v/>
      </c>
      <c r="V127" s="134"/>
      <c r="W127" s="134"/>
      <c r="X127" s="134"/>
      <c r="Y127" s="134"/>
      <c r="Z127" s="134"/>
      <c r="AA127" s="134"/>
      <c r="AB127" s="134"/>
      <c r="AC127" s="134"/>
      <c r="AD127" s="134"/>
      <c r="AE127" s="134"/>
      <c r="AF127" s="134"/>
      <c r="AG127" s="134"/>
      <c r="AH127" s="134"/>
      <c r="AI127" s="134"/>
      <c r="AJ127" s="135"/>
      <c r="AK127" s="183"/>
      <c r="AL127" s="183"/>
      <c r="AM127" s="133" t="str">
        <f>IF([6]回答表!F17="簡易水道事業",IF([6]回答表!AD45="●",[6]回答表!B295,""),"")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IF([6]回答表!F17="下水道事業",IF([6]回答表!X45="●","●",""),"")</f>
        <v>●</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IF([6]回答表!F17="下水道事業",IF([6]回答表!X45="●",[6]回答表!B158,IF([6]回答表!AA45="●",[6]回答表!B223,"")),"")</f>
        <v>平成23年度～令和2年度まで5処理施設を廃止し近隣施設へ統合し、維持管理費約5,000千円の経費削減をしている。</v>
      </c>
      <c r="AN139" s="201"/>
      <c r="AO139" s="201"/>
      <c r="AP139" s="201"/>
      <c r="AQ139" s="201"/>
      <c r="AR139" s="201"/>
      <c r="AS139" s="201"/>
      <c r="AT139" s="201"/>
      <c r="AU139" s="201"/>
      <c r="AV139" s="201"/>
      <c r="AW139" s="201"/>
      <c r="AX139" s="201"/>
      <c r="AY139" s="201"/>
      <c r="AZ139" s="201"/>
      <c r="BA139" s="201"/>
      <c r="BB139" s="201"/>
      <c r="BC139" s="202"/>
      <c r="BD139" s="109"/>
      <c r="BE139" s="109"/>
      <c r="BF139" s="138" t="str">
        <f>IF([6]回答表!F17="下水道事業",IF([6]回答表!X45="●",[6]回答表!B212,IF([6]回答表!AA45="●",[6]回答表!B278,"")),"")</f>
        <v>平成</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IF([6]回答表!F17="下水道事業",IF([6]回答表!X45="●",[6]回答表!Y193,IF([6]回答表!AA45="●",[6]回答表!Y259,"")),"")</f>
        <v xml:space="preserve">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f>IF([6]回答表!F17="下水道事業",IF([6]回答表!X45="●",[6]回答表!E212,IF([6]回答表!AA45="●",[6]回答表!E278,"")),"")</f>
        <v>23</v>
      </c>
      <c r="BG142" s="151"/>
      <c r="BH142" s="151"/>
      <c r="BI142" s="151"/>
      <c r="BJ142" s="150">
        <f>IF([6]回答表!F17="下水道事業",IF([6]回答表!X45="●",[6]回答表!E213,IF([6]回答表!AA45="●",[6]回答表!E279,"")),"")</f>
        <v>4</v>
      </c>
      <c r="BK142" s="151"/>
      <c r="BL142" s="151"/>
      <c r="BM142" s="151"/>
      <c r="BN142" s="150">
        <f>IF([6]回答表!F17="下水道事業",IF([6]回答表!X45="●",[6]回答表!E214,IF([6]回答表!AA45="●",[6]回答表!E280,"")),"")</f>
        <v>1</v>
      </c>
      <c r="BO142" s="151"/>
      <c r="BP142" s="151"/>
      <c r="BQ142" s="152"/>
      <c r="BR142" s="112"/>
      <c r="BX142" s="200" t="str">
        <f>IF([6]回答表!AQ20="下水道事業",IF([6]回答表!BI48="○",[6]回答表!AM161,IF([6]回答表!BL48="○",[6]回答表!AM226,"")),"")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IF([6]回答表!F17="下水道事業",IF([6]回答表!X45="●",[6]回答表!Y195,IF([6]回答表!AA45="●",[6]回答表!Y261,"")),"")</f>
        <v>●</v>
      </c>
      <c r="V147" s="83"/>
      <c r="W147" s="83"/>
      <c r="X147" s="83"/>
      <c r="Y147" s="83"/>
      <c r="Z147" s="83"/>
      <c r="AA147" s="83"/>
      <c r="AB147" s="153"/>
      <c r="AC147" s="82" t="str">
        <f>IF([6]回答表!F17="下水道事業",IF([6]回答表!X45="●",[6]回答表!Y196,IF([6]回答表!AA45="●",[6]回答表!Y262,"")),"")</f>
        <v xml:space="preserve">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IF([6]回答表!F17="下水道事業",IF([6]回答表!X45="●",[6]回答表!Y198,IF([6]回答表!AA45="●",[6]回答表!Y264,"")),"")</f>
        <v xml:space="preserve"> </v>
      </c>
      <c r="V153" s="83"/>
      <c r="W153" s="83"/>
      <c r="X153" s="83"/>
      <c r="Y153" s="83"/>
      <c r="Z153" s="83"/>
      <c r="AA153" s="83"/>
      <c r="AB153" s="153"/>
      <c r="AC153" s="82" t="str">
        <f>IF([6]回答表!F17="下水道事業",IF([6]回答表!X45="●",[6]回答表!Y199,IF([6]回答表!AA45="●",[6]回答表!Y265,"")),"")</f>
        <v xml:space="preserve"> </v>
      </c>
      <c r="AD153" s="83"/>
      <c r="AE153" s="83"/>
      <c r="AF153" s="83"/>
      <c r="AG153" s="83"/>
      <c r="AH153" s="83"/>
      <c r="AI153" s="83"/>
      <c r="AJ153" s="153"/>
      <c r="AK153" s="82" t="str">
        <f>IF([6]回答表!F17="下水道事業",IF([6]回答表!X45="●",[6]回答表!Y200,IF([6]回答表!AA45="●",[6]回答表!Y266,"")),"")</f>
        <v>●</v>
      </c>
      <c r="AL153" s="83"/>
      <c r="AM153" s="83"/>
      <c r="AN153" s="83"/>
      <c r="AO153" s="83"/>
      <c r="AP153" s="83"/>
      <c r="AQ153" s="83"/>
      <c r="AR153" s="153"/>
      <c r="AS153" s="82" t="str">
        <f>IF([6]回答表!F17="下水道事業",IF([6]回答表!X45="●",[6]回答表!Y201,IF([6]回答表!AA45="●",[6]回答表!Y267,"")),"")</f>
        <v xml:space="preserve"> </v>
      </c>
      <c r="AT153" s="83"/>
      <c r="AU153" s="83"/>
      <c r="AV153" s="83"/>
      <c r="AW153" s="83"/>
      <c r="AX153" s="83"/>
      <c r="AY153" s="83"/>
      <c r="AZ153" s="153"/>
      <c r="BA153" s="82" t="str">
        <f>IF([6]回答表!F17="下水道事業",IF([6]回答表!X45="●",[6]回答表!Y202,IF([6]回答表!AA45="●",[6]回答表!Y268,"")),"")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IF([6]回答表!F17="下水道事業",IF([6]回答表!AA45="●","●",""),"")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IF([6]回答表!F17="下水道事業",IF([6]回答表!X45="●",[6]回答表!Y207,IF([6]回答表!AA45="●",[6]回答表!Y273,"")),"")</f>
        <v xml:space="preserve"> </v>
      </c>
      <c r="V159" s="83"/>
      <c r="W159" s="83"/>
      <c r="X159" s="83"/>
      <c r="Y159" s="83"/>
      <c r="Z159" s="83"/>
      <c r="AA159" s="83"/>
      <c r="AB159" s="153"/>
      <c r="AC159" s="82" t="str">
        <f>IF([6]回答表!F17="下水道事業",IF([6]回答表!X45="●",[6]回答表!Y208,IF([6]回答表!AA45="●",[6]回答表!Y274,"")),"")</f>
        <v xml:space="preserve"> </v>
      </c>
      <c r="AD159" s="83"/>
      <c r="AE159" s="83"/>
      <c r="AF159" s="83"/>
      <c r="AG159" s="83"/>
      <c r="AH159" s="83"/>
      <c r="AI159" s="83"/>
      <c r="AJ159" s="153"/>
      <c r="AK159" s="82" t="str">
        <f>IF([6]回答表!F17="下水道事業",IF([6]回答表!X45="●",[6]回答表!Y209,IF([6]回答表!AA45="●",[6]回答表!Y275,"")),"")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IF([6]回答表!F17="下水道事業",IF([6]回答表!AD45="●","●",""),"")</f>
        <v/>
      </c>
      <c r="O164" s="131"/>
      <c r="P164" s="131"/>
      <c r="Q164" s="132"/>
      <c r="R164" s="119"/>
      <c r="S164" s="119"/>
      <c r="T164" s="119"/>
      <c r="U164" s="133" t="str">
        <f>IF([6]回答表!F17="下水道事業",IF([6]回答表!AD45="●",[6]回答表!B289,""),"")</f>
        <v/>
      </c>
      <c r="V164" s="134"/>
      <c r="W164" s="134"/>
      <c r="X164" s="134"/>
      <c r="Y164" s="134"/>
      <c r="Z164" s="134"/>
      <c r="AA164" s="134"/>
      <c r="AB164" s="134"/>
      <c r="AC164" s="134"/>
      <c r="AD164" s="134"/>
      <c r="AE164" s="134"/>
      <c r="AF164" s="134"/>
      <c r="AG164" s="134"/>
      <c r="AH164" s="134"/>
      <c r="AI164" s="134"/>
      <c r="AJ164" s="135"/>
      <c r="AK164" s="183"/>
      <c r="AL164" s="183"/>
      <c r="AM164" s="133" t="str">
        <f>IF([6]回答表!F17="下水道事業",IF([6]回答表!AD45="●",[6]回答表!B295,""),"")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IF([6]回答表!BD17="●",IF([6]回答表!X45="●","●",""),"")</f>
        <v/>
      </c>
      <c r="O176" s="131"/>
      <c r="P176" s="131"/>
      <c r="Q176" s="132"/>
      <c r="R176" s="119"/>
      <c r="S176" s="119"/>
      <c r="T176" s="119"/>
      <c r="U176" s="133" t="str">
        <f>IF([6]回答表!BD17="●",IF([6]回答表!X45="●",[6]回答表!B158,IF([6]回答表!AA45="●",[6]回答表!B223,"")),"")</f>
        <v/>
      </c>
      <c r="V176" s="134"/>
      <c r="W176" s="134"/>
      <c r="X176" s="134"/>
      <c r="Y176" s="134"/>
      <c r="Z176" s="134"/>
      <c r="AA176" s="134"/>
      <c r="AB176" s="134"/>
      <c r="AC176" s="134"/>
      <c r="AD176" s="134"/>
      <c r="AE176" s="134"/>
      <c r="AF176" s="134"/>
      <c r="AG176" s="134"/>
      <c r="AH176" s="134"/>
      <c r="AI176" s="134"/>
      <c r="AJ176" s="135"/>
      <c r="AK176" s="136"/>
      <c r="AL176" s="136"/>
      <c r="AM176" s="138" t="str">
        <f>IF([6]回答表!BD17="●",IF([6]回答表!X45="●",[6]回答表!B212,IF([6]回答表!AA45="●",[6]回答表!B278,"")),"")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IF([6]回答表!BD17="●",IF([6]回答表!X45="●",[6]回答表!E212,IF([6]回答表!AA45="●",[6]回答表!E278,"")),"")</f>
        <v/>
      </c>
      <c r="AN179" s="151"/>
      <c r="AO179" s="151"/>
      <c r="AP179" s="151"/>
      <c r="AQ179" s="150" t="str">
        <f>IF([6]回答表!BD17="●",IF([6]回答表!X45="●",[6]回答表!E213,IF([6]回答表!AA45="●",[6]回答表!E279,"")),"")</f>
        <v/>
      </c>
      <c r="AR179" s="151"/>
      <c r="AS179" s="151"/>
      <c r="AT179" s="151"/>
      <c r="AU179" s="150" t="str">
        <f>IF([6]回答表!BD17="●",IF([6]回答表!X45="●",[6]回答表!E214,IF([6]回答表!AA45="●",[6]回答表!E280,"")),"")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IF([6]回答表!BD17="●",IF([6]回答表!AA45="●","●",""),"")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IF([6]回答表!BD17="●",IF([6]回答表!AD45="●","●",""),"")</f>
        <v/>
      </c>
      <c r="O188" s="131"/>
      <c r="P188" s="131"/>
      <c r="Q188" s="132"/>
      <c r="R188" s="119"/>
      <c r="S188" s="119"/>
      <c r="T188" s="119"/>
      <c r="U188" s="133" t="str">
        <f>IF([6]回答表!BD17="●",IF([6]回答表!AD45="●",[6]回答表!B289,""),"")</f>
        <v/>
      </c>
      <c r="V188" s="134"/>
      <c r="W188" s="134"/>
      <c r="X188" s="134"/>
      <c r="Y188" s="134"/>
      <c r="Z188" s="134"/>
      <c r="AA188" s="134"/>
      <c r="AB188" s="134"/>
      <c r="AC188" s="134"/>
      <c r="AD188" s="134"/>
      <c r="AE188" s="134"/>
      <c r="AF188" s="134"/>
      <c r="AG188" s="134"/>
      <c r="AH188" s="134"/>
      <c r="AI188" s="134"/>
      <c r="AJ188" s="135"/>
      <c r="AK188" s="183"/>
      <c r="AL188" s="183"/>
      <c r="AM188" s="133" t="str">
        <f>IF([6]回答表!BD17="●",IF([6]回答表!AD45="●",[6]回答表!B295,""),"")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IF([6]回答表!X46="●","●","")</f>
        <v/>
      </c>
      <c r="O200" s="131"/>
      <c r="P200" s="131"/>
      <c r="Q200" s="132"/>
      <c r="R200" s="119"/>
      <c r="S200" s="119"/>
      <c r="T200" s="119"/>
      <c r="U200" s="133" t="str">
        <f>IF([6]回答表!X46="●",[6]回答表!B307,IF([6]回答表!AA46="●",[6]回答表!B324,""))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IF([6]回答表!X46="●",[6]回答表!U313,IF([6]回答表!AA46="●",[6]回答表!U330,""))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IF([6]回答表!X46="●",[6]回答表!G313,IF([6]回答表!AA46="●",[6]回答表!G330,""))</f>
        <v/>
      </c>
      <c r="AN203" s="83"/>
      <c r="AO203" s="83"/>
      <c r="AP203" s="83"/>
      <c r="AQ203" s="83"/>
      <c r="AR203" s="83"/>
      <c r="AS203" s="83"/>
      <c r="AT203" s="153"/>
      <c r="AU203" s="82" t="str">
        <f>IF([6]回答表!X46="●",[6]回答表!G314,IF([6]回答表!AA46="●",[6]回答表!G331,""))</f>
        <v/>
      </c>
      <c r="AV203" s="83"/>
      <c r="AW203" s="83"/>
      <c r="AX203" s="83"/>
      <c r="AY203" s="83"/>
      <c r="AZ203" s="83"/>
      <c r="BA203" s="83"/>
      <c r="BB203" s="153"/>
      <c r="BC203" s="120"/>
      <c r="BD203" s="109"/>
      <c r="BE203" s="109"/>
      <c r="BF203" s="150" t="str">
        <f>IF([6]回答表!X46="●",[6]回答表!X313,IF([6]回答表!AA46="●",[6]回答表!X330,""))</f>
        <v/>
      </c>
      <c r="BG203" s="151"/>
      <c r="BH203" s="151"/>
      <c r="BI203" s="151"/>
      <c r="BJ203" s="150" t="str">
        <f>IF([6]回答表!X46="●",[6]回答表!X314,IF([6]回答表!AA46="●",[6]回答表!X331,""))</f>
        <v/>
      </c>
      <c r="BK203" s="151"/>
      <c r="BL203" s="151"/>
      <c r="BM203" s="152"/>
      <c r="BN203" s="150" t="str">
        <f>IF([6]回答表!X46="●",[6]回答表!X315,IF([6]回答表!AA46="●",[6]回答表!X332,""))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IF([6]回答表!AA46="●","●","")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IF([6]回答表!AD46="●","●","")</f>
        <v/>
      </c>
      <c r="O212" s="131"/>
      <c r="P212" s="131"/>
      <c r="Q212" s="132"/>
      <c r="R212" s="119"/>
      <c r="S212" s="119"/>
      <c r="T212" s="119"/>
      <c r="U212" s="133" t="str">
        <f>IF([6]回答表!AD46="●",[6]回答表!B337,"")</f>
        <v/>
      </c>
      <c r="V212" s="134"/>
      <c r="W212" s="134"/>
      <c r="X212" s="134"/>
      <c r="Y212" s="134"/>
      <c r="Z212" s="134"/>
      <c r="AA212" s="134"/>
      <c r="AB212" s="134"/>
      <c r="AC212" s="134"/>
      <c r="AD212" s="134"/>
      <c r="AE212" s="134"/>
      <c r="AF212" s="134"/>
      <c r="AG212" s="134"/>
      <c r="AH212" s="134"/>
      <c r="AI212" s="134"/>
      <c r="AJ212" s="135"/>
      <c r="AK212" s="259"/>
      <c r="AL212" s="259"/>
      <c r="AM212" s="133" t="str">
        <f>IF([6]回答表!AD46="●",[6]回答表!B343,"")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IF([6]回答表!X47="●","●","")</f>
        <v/>
      </c>
      <c r="O224" s="131"/>
      <c r="P224" s="131"/>
      <c r="Q224" s="132"/>
      <c r="R224" s="119"/>
      <c r="S224" s="119"/>
      <c r="T224" s="119"/>
      <c r="U224" s="133" t="str">
        <f>IF([6]回答表!X47="●",[6]回答表!B356,IF([6]回答表!AA47="●",[6]回答表!B379,""))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IF([6]回答表!X47="●",[6]回答表!B362,"")</f>
        <v/>
      </c>
      <c r="AO224" s="263"/>
      <c r="AP224" s="263"/>
      <c r="AQ224" s="263"/>
      <c r="AR224" s="263"/>
      <c r="AS224" s="263"/>
      <c r="AT224" s="263"/>
      <c r="AU224" s="263"/>
      <c r="AV224" s="263"/>
      <c r="AW224" s="263"/>
      <c r="AX224" s="263"/>
      <c r="AY224" s="263"/>
      <c r="AZ224" s="263"/>
      <c r="BA224" s="263"/>
      <c r="BB224" s="264"/>
      <c r="BC224" s="120"/>
      <c r="BD224" s="109"/>
      <c r="BE224" s="109"/>
      <c r="BF224" s="138" t="str">
        <f>IF([6]回答表!X47="●",[6]回答表!B368,IF([6]回答表!AA47="●",[6]回答表!B385,""))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IF([6]回答表!X47="●",[6]回答表!E368,IF([6]回答表!AA47="●",[6]回答表!E385,""))</f>
        <v/>
      </c>
      <c r="BG227" s="151"/>
      <c r="BH227" s="151"/>
      <c r="BI227" s="151"/>
      <c r="BJ227" s="150" t="str">
        <f>IF([6]回答表!X47="●",[6]回答表!E369,IF([6]回答表!AA47="●",[6]回答表!E386,""))</f>
        <v/>
      </c>
      <c r="BK227" s="151"/>
      <c r="BL227" s="151"/>
      <c r="BM227" s="152"/>
      <c r="BN227" s="150" t="str">
        <f>IF([6]回答表!X47="●",[6]回答表!E370,IF([6]回答表!AA47="●",[6]回答表!E387,""))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IF([6]回答表!AA47="●","●","")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IF([6]回答表!AD47="●","●","")</f>
        <v/>
      </c>
      <c r="O236" s="131"/>
      <c r="P236" s="131"/>
      <c r="Q236" s="132"/>
      <c r="R236" s="119"/>
      <c r="S236" s="119"/>
      <c r="T236" s="119"/>
      <c r="U236" s="133" t="str">
        <f>IF([6]回答表!AD47="●",[6]回答表!B392,"")</f>
        <v/>
      </c>
      <c r="V236" s="134"/>
      <c r="W236" s="134"/>
      <c r="X236" s="134"/>
      <c r="Y236" s="134"/>
      <c r="Z236" s="134"/>
      <c r="AA236" s="134"/>
      <c r="AB236" s="134"/>
      <c r="AC236" s="134"/>
      <c r="AD236" s="134"/>
      <c r="AE236" s="134"/>
      <c r="AF236" s="134"/>
      <c r="AG236" s="134"/>
      <c r="AH236" s="134"/>
      <c r="AI236" s="134"/>
      <c r="AJ236" s="135"/>
      <c r="AK236" s="259"/>
      <c r="AL236" s="259"/>
      <c r="AM236" s="133" t="str">
        <f>IF([6]回答表!AD47="●",[6]回答表!B398,"")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IF([6]回答表!X48="●","●","")</f>
        <v/>
      </c>
      <c r="O248" s="131"/>
      <c r="P248" s="131"/>
      <c r="Q248" s="132"/>
      <c r="R248" s="119"/>
      <c r="S248" s="119"/>
      <c r="T248" s="119"/>
      <c r="U248" s="133" t="str">
        <f>IF([6]回答表!X48="●",[6]回答表!B411,IF([6]回答表!AA48="●",[6]回答表!B425,""))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IF([6]回答表!X48="●",[6]回答表!BC418,IF([6]回答表!AA48="●",[6]回答表!BC432,""))</f>
        <v/>
      </c>
      <c r="AR248" s="272"/>
      <c r="AS248" s="272"/>
      <c r="AT248" s="272"/>
      <c r="AU248" s="273" t="s">
        <v>73</v>
      </c>
      <c r="AV248" s="274"/>
      <c r="AW248" s="274"/>
      <c r="AX248" s="275"/>
      <c r="AY248" s="272" t="str">
        <f>IF([6]回答表!X48="●",[6]回答表!BC423,IF([6]回答表!AA48="●",[6]回答表!BC437,""))</f>
        <v/>
      </c>
      <c r="AZ248" s="272"/>
      <c r="BA248" s="272"/>
      <c r="BB248" s="272"/>
      <c r="BC248" s="120"/>
      <c r="BD248" s="109"/>
      <c r="BE248" s="109"/>
      <c r="BF248" s="138" t="str">
        <f>IF([6]回答表!X48="●",[6]回答表!S417,IF([6]回答表!AA48="●",[6]回答表!S431,""))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IF([6]回答表!X48="●",[6]回答表!BC419,IF([6]回答表!AA48="●",[6]回答表!BC433,""))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IF([6]回答表!X48="●",[6]回答表!V417,IF([6]回答表!AA48="●",[6]回答表!V431,""))</f>
        <v/>
      </c>
      <c r="BG251" s="151"/>
      <c r="BH251" s="151"/>
      <c r="BI251" s="151"/>
      <c r="BJ251" s="150" t="str">
        <f>IF([6]回答表!X48="●",[6]回答表!V418,IF([6]回答表!AA48="●",[6]回答表!V432,""))</f>
        <v/>
      </c>
      <c r="BK251" s="151"/>
      <c r="BL251" s="151"/>
      <c r="BM251" s="152"/>
      <c r="BN251" s="150" t="str">
        <f>IF([6]回答表!X48="●",[6]回答表!V419,IF([6]回答表!AA48="●",[6]回答表!V433,""))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IF([6]回答表!X48="●",[6]回答表!BC420,IF([6]回答表!AA48="●",[6]回答表!BC434,""))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IF([6]回答表!X48="●",[6]回答表!BC424,IF([6]回答表!AA48="●",[6]回答表!BC438,""))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IF([6]回答表!AA48="●","●","")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IF([6]回答表!X48="●",[6]回答表!BC421,IF([6]回答表!AA48="●",[6]回答表!BC435,""))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IF([6]回答表!X48="●",[6]回答表!BC422,IF([6]回答表!AA48="●",[6]回答表!BC436,""))</f>
        <v/>
      </c>
      <c r="AR256" s="272"/>
      <c r="AS256" s="272"/>
      <c r="AT256" s="272"/>
      <c r="AU256" s="224" t="s">
        <v>79</v>
      </c>
      <c r="AV256" s="225"/>
      <c r="AW256" s="225"/>
      <c r="AX256" s="226"/>
      <c r="AY256" s="282" t="str">
        <f>IF([6]回答表!X48="●",[6]回答表!BC425,IF([6]回答表!AA48="●",[6]回答表!BC439,""))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IF([6]回答表!AD48="●","●","")</f>
        <v/>
      </c>
      <c r="O260" s="131"/>
      <c r="P260" s="131"/>
      <c r="Q260" s="132"/>
      <c r="R260" s="119"/>
      <c r="S260" s="119"/>
      <c r="T260" s="119"/>
      <c r="U260" s="133" t="str">
        <f>IF([6]回答表!AD48="●",[6]回答表!B439,"")</f>
        <v/>
      </c>
      <c r="V260" s="134"/>
      <c r="W260" s="134"/>
      <c r="X260" s="134"/>
      <c r="Y260" s="134"/>
      <c r="Z260" s="134"/>
      <c r="AA260" s="134"/>
      <c r="AB260" s="134"/>
      <c r="AC260" s="134"/>
      <c r="AD260" s="134"/>
      <c r="AE260" s="134"/>
      <c r="AF260" s="134"/>
      <c r="AG260" s="134"/>
      <c r="AH260" s="134"/>
      <c r="AI260" s="134"/>
      <c r="AJ260" s="135"/>
      <c r="AK260" s="183"/>
      <c r="AL260" s="183"/>
      <c r="AM260" s="133" t="str">
        <f>IF([6]回答表!AD48="●",[6]回答表!B445,"")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IF([6]回答表!X49="●","●","")</f>
        <v/>
      </c>
      <c r="O271" s="131"/>
      <c r="P271" s="131"/>
      <c r="Q271" s="132"/>
      <c r="R271" s="119"/>
      <c r="S271" s="119"/>
      <c r="T271" s="119"/>
      <c r="U271" s="133" t="str">
        <f>IF([6]回答表!X49="●",[6]回答表!B458,IF([6]回答表!AA49="●",[6]回答表!B475,""))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IF([6]回答表!X49="●",[6]回答表!B468,IF([6]回答表!AA49="●",[6]回答表!B485,""))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IF([6]回答表!X49="●",[6]回答表!G464,IF([6]回答表!AA49="●",[6]回答表!G481,""))</f>
        <v/>
      </c>
      <c r="AN273" s="83"/>
      <c r="AO273" s="83"/>
      <c r="AP273" s="83"/>
      <c r="AQ273" s="83"/>
      <c r="AR273" s="83"/>
      <c r="AS273" s="83"/>
      <c r="AT273" s="153"/>
      <c r="AU273" s="82" t="str">
        <f>IF([6]回答表!X49="●",[6]回答表!G465,IF([6]回答表!AA49="●",[6]回答表!G482,""))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IF([6]回答表!X49="●",[6]回答表!E468,IF([6]回答表!AA49="●",[6]回答表!E485,""))</f>
        <v/>
      </c>
      <c r="BG274" s="151"/>
      <c r="BH274" s="151"/>
      <c r="BI274" s="151"/>
      <c r="BJ274" s="150" t="str">
        <f>IF([6]回答表!X49="●",[6]回答表!E469,IF([6]回答表!AA49="●",[6]回答表!E486,""))</f>
        <v/>
      </c>
      <c r="BK274" s="151"/>
      <c r="BL274" s="151"/>
      <c r="BM274" s="152"/>
      <c r="BN274" s="150" t="str">
        <f>IF([6]回答表!X49="●",[6]回答表!E470,IF([6]回答表!AA49="●",[6]回答表!E487,""))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IF([6]回答表!AA49="●","●","")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IF([6]回答表!AD49="●","●","")</f>
        <v/>
      </c>
      <c r="O283" s="131"/>
      <c r="P283" s="131"/>
      <c r="Q283" s="132"/>
      <c r="R283" s="119"/>
      <c r="S283" s="119"/>
      <c r="T283" s="119"/>
      <c r="U283" s="133" t="str">
        <f>IF([6]回答表!AD49="●",[6]回答表!B492,"")</f>
        <v/>
      </c>
      <c r="V283" s="134"/>
      <c r="W283" s="134"/>
      <c r="X283" s="134"/>
      <c r="Y283" s="134"/>
      <c r="Z283" s="134"/>
      <c r="AA283" s="134"/>
      <c r="AB283" s="134"/>
      <c r="AC283" s="134"/>
      <c r="AD283" s="134"/>
      <c r="AE283" s="134"/>
      <c r="AF283" s="134"/>
      <c r="AG283" s="134"/>
      <c r="AH283" s="134"/>
      <c r="AI283" s="134"/>
      <c r="AJ283" s="135"/>
      <c r="AK283" s="136"/>
      <c r="AL283" s="136"/>
      <c r="AM283" s="133" t="str">
        <f>IF([6]回答表!AD49="●",[6]回答表!B498,"")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IF([6]回答表!R50="●",[6]回答表!B511,"")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1" priority="2">
      <formula>$BB$25="○"</formula>
    </cfRule>
  </conditionalFormatting>
  <conditionalFormatting sqref="BD28:BD30">
    <cfRule type="expression" dxfId="2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EC8CF-356E-4B96-ACE4-84875636F7B1}">
  <sheetPr>
    <pageSetUpPr fitToPage="1"/>
  </sheetPr>
  <dimension ref="A1:CN315"/>
  <sheetViews>
    <sheetView showZeros="0" view="pageBreakPreview" topLeftCell="A124" zoomScale="60" zoomScaleNormal="55" workbookViewId="0">
      <selection activeCell="AK151" sqref="AK151:AR152"/>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IF(COUNTIF([7]回答表!K15,"*")&gt;0,[7]回答表!K15,"")</f>
        <v>由利本荘市</v>
      </c>
      <c r="D11" s="8"/>
      <c r="E11" s="8"/>
      <c r="F11" s="8"/>
      <c r="G11" s="8"/>
      <c r="H11" s="8"/>
      <c r="I11" s="8"/>
      <c r="J11" s="8"/>
      <c r="K11" s="8"/>
      <c r="L11" s="8"/>
      <c r="M11" s="8"/>
      <c r="N11" s="8"/>
      <c r="O11" s="8"/>
      <c r="P11" s="8"/>
      <c r="Q11" s="8"/>
      <c r="R11" s="8"/>
      <c r="S11" s="8"/>
      <c r="T11" s="8"/>
      <c r="U11" s="22" t="str">
        <f>IF(COUNTIF([7]回答表!F17,"*")&gt;0,[7]回答表!F17,"")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IF(COUNTIF([7]回答表!W17,"*")&gt;0,[7]回答表!W17,"")</f>
        <v>漁業集落排水施設</v>
      </c>
      <c r="AP11" s="10"/>
      <c r="AQ11" s="10"/>
      <c r="AR11" s="10"/>
      <c r="AS11" s="10"/>
      <c r="AT11" s="10"/>
      <c r="AU11" s="10"/>
      <c r="AV11" s="10"/>
      <c r="AW11" s="10"/>
      <c r="AX11" s="10"/>
      <c r="AY11" s="10"/>
      <c r="AZ11" s="10"/>
      <c r="BA11" s="10"/>
      <c r="BB11" s="10"/>
      <c r="BC11" s="10"/>
      <c r="BD11" s="10"/>
      <c r="BE11" s="10"/>
      <c r="BF11" s="11"/>
      <c r="BG11" s="21" t="str">
        <f>IF(COUNTIF([7]回答表!F19,"*")&gt;0,[7]回答表!F19,"")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IF([7]回答表!R43="●","●","")</f>
        <v/>
      </c>
      <c r="E24" s="80"/>
      <c r="F24" s="80"/>
      <c r="G24" s="80"/>
      <c r="H24" s="80"/>
      <c r="I24" s="80"/>
      <c r="J24" s="81"/>
      <c r="K24" s="79" t="str">
        <f>IF([7]回答表!R44="●","●","")</f>
        <v/>
      </c>
      <c r="L24" s="80"/>
      <c r="M24" s="80"/>
      <c r="N24" s="80"/>
      <c r="O24" s="80"/>
      <c r="P24" s="80"/>
      <c r="Q24" s="81"/>
      <c r="R24" s="79" t="str">
        <f>IF([7]回答表!R45="●","●","")</f>
        <v>●</v>
      </c>
      <c r="S24" s="80"/>
      <c r="T24" s="80"/>
      <c r="U24" s="80"/>
      <c r="V24" s="80"/>
      <c r="W24" s="80"/>
      <c r="X24" s="81"/>
      <c r="Y24" s="79" t="str">
        <f>IF([7]回答表!R46="●","●","")</f>
        <v/>
      </c>
      <c r="Z24" s="80"/>
      <c r="AA24" s="80"/>
      <c r="AB24" s="80"/>
      <c r="AC24" s="80"/>
      <c r="AD24" s="80"/>
      <c r="AE24" s="81"/>
      <c r="AF24" s="79" t="str">
        <f>IF([7]回答表!R47="●","●","")</f>
        <v/>
      </c>
      <c r="AG24" s="80"/>
      <c r="AH24" s="80"/>
      <c r="AI24" s="80"/>
      <c r="AJ24" s="80"/>
      <c r="AK24" s="80"/>
      <c r="AL24" s="81"/>
      <c r="AM24" s="79" t="str">
        <f>IF([7]回答表!R48="●","●","")</f>
        <v/>
      </c>
      <c r="AN24" s="80"/>
      <c r="AO24" s="80"/>
      <c r="AP24" s="80"/>
      <c r="AQ24" s="80"/>
      <c r="AR24" s="80"/>
      <c r="AS24" s="81"/>
      <c r="AT24" s="79" t="str">
        <f>IF([7]回答表!R49="●","●","")</f>
        <v/>
      </c>
      <c r="AU24" s="80"/>
      <c r="AV24" s="80"/>
      <c r="AW24" s="80"/>
      <c r="AX24" s="80"/>
      <c r="AY24" s="80"/>
      <c r="AZ24" s="81"/>
      <c r="BA24" s="68"/>
      <c r="BB24" s="82" t="str">
        <f>IF([7]回答表!R50="●","●","")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IF([7]回答表!X43="●","●","")</f>
        <v/>
      </c>
      <c r="O36" s="131"/>
      <c r="P36" s="131"/>
      <c r="Q36" s="132"/>
      <c r="R36" s="119"/>
      <c r="S36" s="119"/>
      <c r="T36" s="119"/>
      <c r="U36" s="133" t="str">
        <f>IF([7]回答表!X43="●",[7]回答表!B59,IF([7]回答表!AA43="●",[7]回答表!B79,""))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IF([7]回答表!X43="●",[7]回答表!S65,IF([7]回答表!AA43="●",[7]回答表!S85,""))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IF([7]回答表!X43="●",[7]回答表!G65,IF([7]回答表!AA43="●",[7]回答表!G85,""))</f>
        <v/>
      </c>
      <c r="AN38" s="83"/>
      <c r="AO38" s="83"/>
      <c r="AP38" s="83"/>
      <c r="AQ38" s="83"/>
      <c r="AR38" s="83"/>
      <c r="AS38" s="83"/>
      <c r="AT38" s="153"/>
      <c r="AU38" s="82" t="str">
        <f>IF([7]回答表!X43="●",[7]回答表!G66,IF([7]回答表!AA43="●",[7]回答表!G86,""))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IF([7]回答表!X43="●",[7]回答表!V65,IF([7]回答表!AA43="●",[7]回答表!V85,""))</f>
        <v/>
      </c>
      <c r="BG39" s="16"/>
      <c r="BH39" s="16"/>
      <c r="BI39" s="17"/>
      <c r="BJ39" s="150" t="str">
        <f>IF([7]回答表!X43="●",[7]回答表!V66,IF([7]回答表!AA43="●",[7]回答表!V86,""))</f>
        <v/>
      </c>
      <c r="BK39" s="16"/>
      <c r="BL39" s="16"/>
      <c r="BM39" s="17"/>
      <c r="BN39" s="150" t="str">
        <f>IF([7]回答表!X43="●",[7]回答表!V67,IF([7]回答表!AA43="●",[7]回答表!V87,""))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IF([7]回答表!X43="●",[7]回答表!O71,IF([7]回答表!AA43="●",[7]回答表!O91,""))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IF([7]回答表!X43="●",[7]回答表!O72,IF([7]回答表!AA43="●",[7]回答表!O92,""))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IF([7]回答表!AA43="●","●","")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IF([7]回答表!X43="●",[7]回答表!O73,IF([7]回答表!AA43="●",[7]回答表!O93,""))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IF([7]回答表!X43="●",[7]回答表!O74,IF([7]回答表!AA43="●",[7]回答表!O94,""))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IF([7]回答表!X43="●",[7]回答表!AG71,IF([7]回答表!AA43="●",[7]回答表!AG91,""))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IF([7]回答表!X43="●",[7]回答表!AG72,IF([7]回答表!AA43="●",[7]回答表!AG92,""))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IF([7]回答表!AD43="●","●","")</f>
        <v/>
      </c>
      <c r="O51" s="131"/>
      <c r="P51" s="131"/>
      <c r="Q51" s="132"/>
      <c r="R51" s="119"/>
      <c r="S51" s="119"/>
      <c r="T51" s="119"/>
      <c r="U51" s="133" t="str">
        <f>IF([7]回答表!AD43="●",[7]回答表!B99,"")</f>
        <v/>
      </c>
      <c r="V51" s="134"/>
      <c r="W51" s="134"/>
      <c r="X51" s="134"/>
      <c r="Y51" s="134"/>
      <c r="Z51" s="134"/>
      <c r="AA51" s="134"/>
      <c r="AB51" s="134"/>
      <c r="AC51" s="134"/>
      <c r="AD51" s="134"/>
      <c r="AE51" s="134"/>
      <c r="AF51" s="134"/>
      <c r="AG51" s="134"/>
      <c r="AH51" s="134"/>
      <c r="AI51" s="134"/>
      <c r="AJ51" s="135"/>
      <c r="AK51" s="183"/>
      <c r="AL51" s="183"/>
      <c r="AM51" s="133" t="str">
        <f>IF([7]回答表!AD43="●",[7]回答表!B104,"")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IF([7]回答表!X44="●","●","")</f>
        <v/>
      </c>
      <c r="O62" s="131"/>
      <c r="P62" s="131"/>
      <c r="Q62" s="132"/>
      <c r="R62" s="119"/>
      <c r="S62" s="119"/>
      <c r="T62" s="119"/>
      <c r="U62" s="133" t="str">
        <f>IF([7]回答表!X44="●",[7]回答表!B115,IF([7]回答表!AA44="●",[7]回答表!B127,""))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IF([7]回答表!X44="●",[7]回答表!S121,IF([7]回答表!AA44="●",[7]回答表!S133,""))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IF([7]回答表!X44="●",[7]回答表!J121,IF([7]回答表!AA44="●",[7]回答表!J133,""))</f>
        <v/>
      </c>
      <c r="AN65" s="83"/>
      <c r="AO65" s="83"/>
      <c r="AP65" s="83"/>
      <c r="AQ65" s="83"/>
      <c r="AR65" s="83"/>
      <c r="AS65" s="83"/>
      <c r="AT65" s="153"/>
      <c r="AU65" s="82" t="str">
        <f>IF([7]回答表!X44="●",[7]回答表!J122,IF([7]回答表!AA44="●",[7]回答表!J134,""))</f>
        <v/>
      </c>
      <c r="AV65" s="83"/>
      <c r="AW65" s="83"/>
      <c r="AX65" s="83"/>
      <c r="AY65" s="83"/>
      <c r="AZ65" s="83"/>
      <c r="BA65" s="83"/>
      <c r="BB65" s="153"/>
      <c r="BC65" s="120"/>
      <c r="BD65" s="109"/>
      <c r="BE65" s="109"/>
      <c r="BF65" s="150" t="str">
        <f>IF([7]回答表!X44="●",[7]回答表!V121,IF([7]回答表!AA44="●",[7]回答表!V133,""))</f>
        <v/>
      </c>
      <c r="BG65" s="151"/>
      <c r="BH65" s="151"/>
      <c r="BI65" s="151"/>
      <c r="BJ65" s="150" t="str">
        <f>IF([7]回答表!X44="●",[7]回答表!V122,IF([7]回答表!AA44="●",[7]回答表!V134,""))</f>
        <v/>
      </c>
      <c r="BK65" s="151"/>
      <c r="BL65" s="151"/>
      <c r="BM65" s="151"/>
      <c r="BN65" s="150" t="str">
        <f>IF([7]回答表!X44="●",[7]回答表!V123,IF([7]回答表!AA44="●",[7]回答表!V135,""))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IF([7]回答表!AA44="●","●","")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IF([7]回答表!AD44="●","●","")</f>
        <v/>
      </c>
      <c r="O74" s="131"/>
      <c r="P74" s="131"/>
      <c r="Q74" s="132"/>
      <c r="R74" s="119"/>
      <c r="S74" s="119"/>
      <c r="T74" s="119"/>
      <c r="U74" s="133" t="str">
        <f>IF([7]回答表!AD44="●",[7]回答表!B140,"")</f>
        <v/>
      </c>
      <c r="V74" s="134"/>
      <c r="W74" s="134"/>
      <c r="X74" s="134"/>
      <c r="Y74" s="134"/>
      <c r="Z74" s="134"/>
      <c r="AA74" s="134"/>
      <c r="AB74" s="134"/>
      <c r="AC74" s="134"/>
      <c r="AD74" s="134"/>
      <c r="AE74" s="134"/>
      <c r="AF74" s="134"/>
      <c r="AG74" s="134"/>
      <c r="AH74" s="134"/>
      <c r="AI74" s="134"/>
      <c r="AJ74" s="135"/>
      <c r="AK74" s="183"/>
      <c r="AL74" s="183"/>
      <c r="AM74" s="133" t="str">
        <f>IF([7]回答表!AD44="●",[7]回答表!B146,"")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IF([7]回答表!F17="水道事業",IF([7]回答表!X45="●","●",""),"")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IF([7]回答表!F17="水道事業",IF([7]回答表!X45="●",[7]回答表!B158,IF([7]回答表!AA45="●",[7]回答表!B223,"")),"")</f>
        <v/>
      </c>
      <c r="AN86" s="201"/>
      <c r="AO86" s="201"/>
      <c r="AP86" s="201"/>
      <c r="AQ86" s="201"/>
      <c r="AR86" s="201"/>
      <c r="AS86" s="201"/>
      <c r="AT86" s="201"/>
      <c r="AU86" s="201"/>
      <c r="AV86" s="201"/>
      <c r="AW86" s="201"/>
      <c r="AX86" s="201"/>
      <c r="AY86" s="201"/>
      <c r="AZ86" s="201"/>
      <c r="BA86" s="201"/>
      <c r="BB86" s="201"/>
      <c r="BC86" s="202"/>
      <c r="BD86" s="109"/>
      <c r="BE86" s="109"/>
      <c r="BF86" s="138" t="str">
        <f>IF([7]回答表!F17="水道事業",IF([7]回答表!X45="●",[7]回答表!B212,IF([7]回答表!AA45="●",[7]回答表!B278,"")),"")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IF([7]回答表!F17="水道事業",IF([7]回答表!X45="●",[7]回答表!J166,IF([7]回答表!AA45="●",[7]回答表!J231,"")),"")</f>
        <v/>
      </c>
      <c r="V88" s="83"/>
      <c r="W88" s="83"/>
      <c r="X88" s="83"/>
      <c r="Y88" s="83"/>
      <c r="Z88" s="83"/>
      <c r="AA88" s="83"/>
      <c r="AB88" s="153"/>
      <c r="AC88" s="82" t="str">
        <f>IF([7]回答表!F17="水道事業",IF([7]回答表!X45="●",[7]回答表!J173,IF([7]回答表!AA45="●",[7]回答表!J238,"")),"")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IF([7]回答表!F17="水道事業",IF([7]回答表!X45="●",[7]回答表!E212,IF([7]回答表!AA45="●",[7]回答表!E278,"")),"")</f>
        <v/>
      </c>
      <c r="BG89" s="151"/>
      <c r="BH89" s="151"/>
      <c r="BI89" s="151"/>
      <c r="BJ89" s="150" t="str">
        <f>IF([7]回答表!F17="水道事業",IF([7]回答表!X45="●",[7]回答表!E213,IF([7]回答表!AA45="●",[7]回答表!E279,"")),"")</f>
        <v/>
      </c>
      <c r="BK89" s="151"/>
      <c r="BL89" s="151"/>
      <c r="BM89" s="151"/>
      <c r="BN89" s="150" t="str">
        <f>IF([7]回答表!F17="水道事業",IF([7]回答表!X45="●",[7]回答表!E214,IF([7]回答表!AA45="●",[7]回答表!E280,"")),"")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IF([7]回答表!F17="水道事業",IF([7]回答表!AA45="●","●",""),"")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IF([7]回答表!F17="水道事業",IF([7]回答表!X45="●",[7]回答表!J176,IF([7]回答表!AA45="●",[7]回答表!J241,"")),"")</f>
        <v/>
      </c>
      <c r="V93" s="83"/>
      <c r="W93" s="83"/>
      <c r="X93" s="83"/>
      <c r="Y93" s="83"/>
      <c r="Z93" s="83"/>
      <c r="AA93" s="83"/>
      <c r="AB93" s="153"/>
      <c r="AC93" s="82" t="str">
        <f>IF([7]回答表!F17="水道事業",IF([7]回答表!X45="●",[7]回答表!J180,IF([7]回答表!AA45="●",[7]回答表!J245,"")),"")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IF([7]回答表!F17="水道事業",IF([7]回答表!AD45="○","○",""),"")</f>
        <v/>
      </c>
      <c r="O98" s="131"/>
      <c r="P98" s="131"/>
      <c r="Q98" s="132"/>
      <c r="R98" s="119"/>
      <c r="S98" s="119"/>
      <c r="T98" s="119"/>
      <c r="U98" s="133" t="str">
        <f>IF([7]回答表!F17="水道事業",IF([7]回答表!AD45="●",[7]回答表!B289,""),"")</f>
        <v/>
      </c>
      <c r="V98" s="134"/>
      <c r="W98" s="134"/>
      <c r="X98" s="134"/>
      <c r="Y98" s="134"/>
      <c r="Z98" s="134"/>
      <c r="AA98" s="134"/>
      <c r="AB98" s="134"/>
      <c r="AC98" s="134"/>
      <c r="AD98" s="134"/>
      <c r="AE98" s="134"/>
      <c r="AF98" s="134"/>
      <c r="AG98" s="134"/>
      <c r="AH98" s="134"/>
      <c r="AI98" s="134"/>
      <c r="AJ98" s="135"/>
      <c r="AK98" s="183"/>
      <c r="AL98" s="183"/>
      <c r="AM98" s="133" t="str">
        <f>IF([7]回答表!F17="水道事業",IF([7]回答表!AD45="●",[7]回答表!B295,""),"")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IF([7]回答表!F17="簡易水道事業",IF([7]回答表!X45="●",[7]回答表!B158,IF([7]回答表!AA45="●",[7]回答表!B223,"")),"")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IF([7]回答表!F17="簡易水道事業",IF([7]回答表!X45="●",[7]回答表!B212,IF([7]回答表!AA45="●",[7]回答表!B278,"")),"")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IF([7]回答表!F17="簡易水道事業",IF([7]回答表!X45="●","●",""),"")</f>
        <v/>
      </c>
      <c r="O112" s="131"/>
      <c r="P112" s="131"/>
      <c r="Q112" s="132"/>
      <c r="R112" s="119"/>
      <c r="S112" s="119"/>
      <c r="T112" s="119"/>
      <c r="U112" s="82" t="str">
        <f>IF([7]回答表!F17="簡易水道事業",IF([7]回答表!X45="●",[7]回答表!Y185,IF([7]回答表!AA45="●",[7]回答表!Y251,"")),"")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IF([7]回答表!F17="簡易水道事業",IF([7]回答表!X45="●",[7]回答表!E212,IF([7]回答表!AA45="●",[7]回答表!E278,"")),"")</f>
        <v/>
      </c>
      <c r="BG113" s="151"/>
      <c r="BH113" s="151"/>
      <c r="BI113" s="151"/>
      <c r="BJ113" s="150" t="str">
        <f>IF([7]回答表!F17="簡易水道事業",IF([7]回答表!X45="●",[7]回答表!E213,IF([7]回答表!AA45="●",[7]回答表!E279,"")),"")</f>
        <v/>
      </c>
      <c r="BK113" s="151"/>
      <c r="BL113" s="151"/>
      <c r="BM113" s="151"/>
      <c r="BN113" s="150" t="str">
        <f>IF([7]回答表!F17="簡易水道事業",IF([7]回答表!X45="●",[7]回答表!E214,IF([7]回答表!AA45="●",[7]回答表!E280,"")),"")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IF([7]回答表!F17="簡易水道事業",IF([7]回答表!X45="●",[7]回答表!Y186,IF([7]回答表!AA45="●",[7]回答表!Y252,"")),"")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IF([7]回答表!F17="簡易水道事業",IF([7]回答表!AA45="●","●",""),"")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IF([7]回答表!F17="簡易水道事業",IF([7]回答表!X45="●",[7]回答表!Y187,IF([7]回答表!AA45="●",[7]回答表!Y253,"")),"")</f>
        <v/>
      </c>
      <c r="V122" s="83"/>
      <c r="W122" s="83"/>
      <c r="X122" s="83"/>
      <c r="Y122" s="83"/>
      <c r="Z122" s="83"/>
      <c r="AA122" s="83"/>
      <c r="AB122" s="83"/>
      <c r="AC122" s="83"/>
      <c r="AD122" s="83"/>
      <c r="AE122" s="83"/>
      <c r="AF122" s="83"/>
      <c r="AG122" s="83"/>
      <c r="AH122" s="83"/>
      <c r="AI122" s="83"/>
      <c r="AJ122" s="153"/>
      <c r="AK122" s="68"/>
      <c r="AL122" s="68"/>
      <c r="AM122" s="233" t="str">
        <f>IF([7]回答表!F17="簡易水道事業",IF([7]回答表!X45="●",[7]回答表!Y189,IF([7]回答表!AA45="●",[7]回答表!Y255,"")),"")</f>
        <v/>
      </c>
      <c r="AN122" s="233"/>
      <c r="AO122" s="233"/>
      <c r="AP122" s="233"/>
      <c r="AQ122" s="233"/>
      <c r="AR122" s="233"/>
      <c r="AS122" s="233" t="str">
        <f>IF([7]回答表!F17="簡易水道事業",IF([7]回答表!X45="●",[7]回答表!Y190,IF([7]回答表!AA45="●",[7]回答表!Y256,"")),"")</f>
        <v/>
      </c>
      <c r="AT122" s="233"/>
      <c r="AU122" s="233"/>
      <c r="AV122" s="233"/>
      <c r="AW122" s="233"/>
      <c r="AX122" s="233"/>
      <c r="AY122" s="233" t="str">
        <f>IF([7]回答表!F17="簡易水道事業",IF([7]回答表!X45="●",[7]回答表!Y191,IF([7]回答表!AA45="●",[7]回答表!Y257,"")),"")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IF([7]回答表!F17="簡易水道事業",IF([7]回答表!AD45="●","●",""),"")</f>
        <v/>
      </c>
      <c r="O127" s="131"/>
      <c r="P127" s="131"/>
      <c r="Q127" s="132"/>
      <c r="R127" s="119"/>
      <c r="S127" s="119"/>
      <c r="T127" s="119"/>
      <c r="U127" s="133" t="str">
        <f>IF([7]回答表!F17="簡易水道事業",IF([7]回答表!AD45="●",[7]回答表!B289,""),"")</f>
        <v/>
      </c>
      <c r="V127" s="134"/>
      <c r="W127" s="134"/>
      <c r="X127" s="134"/>
      <c r="Y127" s="134"/>
      <c r="Z127" s="134"/>
      <c r="AA127" s="134"/>
      <c r="AB127" s="134"/>
      <c r="AC127" s="134"/>
      <c r="AD127" s="134"/>
      <c r="AE127" s="134"/>
      <c r="AF127" s="134"/>
      <c r="AG127" s="134"/>
      <c r="AH127" s="134"/>
      <c r="AI127" s="134"/>
      <c r="AJ127" s="135"/>
      <c r="AK127" s="183"/>
      <c r="AL127" s="183"/>
      <c r="AM127" s="133" t="str">
        <f>IF([7]回答表!F17="簡易水道事業",IF([7]回答表!AD45="●",[7]回答表!B295,""),"")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IF([7]回答表!F17="下水道事業",IF([7]回答表!X45="●","●",""),"")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IF([7]回答表!F17="下水道事業",IF([7]回答表!X45="●",[7]回答表!B158,IF([7]回答表!AA45="●",[7]回答表!B223,"")),"")</f>
        <v>漁業集落排水施設を廃止し、農業集落排水処理施設に統合する計画で、令和１３年度に工事を行うこととしている。処理施設数が減ることで維持管理費用が減少すると見込んでいる。</v>
      </c>
      <c r="AN139" s="201"/>
      <c r="AO139" s="201"/>
      <c r="AP139" s="201"/>
      <c r="AQ139" s="201"/>
      <c r="AR139" s="201"/>
      <c r="AS139" s="201"/>
      <c r="AT139" s="201"/>
      <c r="AU139" s="201"/>
      <c r="AV139" s="201"/>
      <c r="AW139" s="201"/>
      <c r="AX139" s="201"/>
      <c r="AY139" s="201"/>
      <c r="AZ139" s="201"/>
      <c r="BA139" s="201"/>
      <c r="BB139" s="201"/>
      <c r="BC139" s="202"/>
      <c r="BD139" s="109"/>
      <c r="BE139" s="109"/>
      <c r="BF139" s="138" t="str">
        <f>IF([7]回答表!F17="下水道事業",IF([7]回答表!X45="●",[7]回答表!B212,IF([7]回答表!AA45="●",[7]回答表!B278,"")),"")</f>
        <v>令和</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IF([7]回答表!F17="下水道事業",IF([7]回答表!X45="●",[7]回答表!Y193,IF([7]回答表!AA45="●",[7]回答表!Y259,"")),"")</f>
        <v>●</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f>IF([7]回答表!F17="下水道事業",IF([7]回答表!X45="●",[7]回答表!E212,IF([7]回答表!AA45="●",[7]回答表!E278,"")),"")</f>
        <v>14</v>
      </c>
      <c r="BG142" s="151"/>
      <c r="BH142" s="151"/>
      <c r="BI142" s="151"/>
      <c r="BJ142" s="150">
        <f>IF([7]回答表!F17="下水道事業",IF([7]回答表!X45="●",[7]回答表!E213,IF([7]回答表!AA45="●",[7]回答表!E279,"")),"")</f>
        <v>4</v>
      </c>
      <c r="BK142" s="151"/>
      <c r="BL142" s="151"/>
      <c r="BM142" s="151"/>
      <c r="BN142" s="150">
        <f>IF([7]回答表!F17="下水道事業",IF([7]回答表!X45="●",[7]回答表!E214,IF([7]回答表!AA45="●",[7]回答表!E280,"")),"")</f>
        <v>1</v>
      </c>
      <c r="BO142" s="151"/>
      <c r="BP142" s="151"/>
      <c r="BQ142" s="152"/>
      <c r="BR142" s="112"/>
      <c r="BX142" s="200" t="str">
        <f>IF([7]回答表!AQ20="下水道事業",IF([7]回答表!BI48="○",[7]回答表!AM161,IF([7]回答表!BL48="○",[7]回答表!AM226,"")),"")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IF([7]回答表!F17="下水道事業",IF([7]回答表!X45="●",[7]回答表!Y195,IF([7]回答表!AA45="●",[7]回答表!Y261,"")),"")</f>
        <v>●</v>
      </c>
      <c r="V147" s="83"/>
      <c r="W147" s="83"/>
      <c r="X147" s="83"/>
      <c r="Y147" s="83"/>
      <c r="Z147" s="83"/>
      <c r="AA147" s="83"/>
      <c r="AB147" s="153"/>
      <c r="AC147" s="82" t="str">
        <f>IF([7]回答表!F17="下水道事業",IF([7]回答表!X45="●",[7]回答表!Y196,IF([7]回答表!AA45="●",[7]回答表!Y262,"")),"")</f>
        <v xml:space="preserve">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IF([7]回答表!F17="下水道事業",IF([7]回答表!X45="●",[7]回答表!Y198,IF([7]回答表!AA45="●",[7]回答表!Y264,"")),"")</f>
        <v xml:space="preserve"> </v>
      </c>
      <c r="V153" s="83"/>
      <c r="W153" s="83"/>
      <c r="X153" s="83"/>
      <c r="Y153" s="83"/>
      <c r="Z153" s="83"/>
      <c r="AA153" s="83"/>
      <c r="AB153" s="153"/>
      <c r="AC153" s="82" t="str">
        <f>IF([7]回答表!F17="下水道事業",IF([7]回答表!X45="●",[7]回答表!Y199,IF([7]回答表!AA45="●",[7]回答表!Y265,"")),"")</f>
        <v xml:space="preserve"> </v>
      </c>
      <c r="AD153" s="83"/>
      <c r="AE153" s="83"/>
      <c r="AF153" s="83"/>
      <c r="AG153" s="83"/>
      <c r="AH153" s="83"/>
      <c r="AI153" s="83"/>
      <c r="AJ153" s="153"/>
      <c r="AK153" s="82" t="str">
        <f>IF([7]回答表!F17="下水道事業",IF([7]回答表!X45="●",[7]回答表!Y200,IF([7]回答表!AA45="●",[7]回答表!Y266,"")),"")</f>
        <v>●</v>
      </c>
      <c r="AL153" s="83"/>
      <c r="AM153" s="83"/>
      <c r="AN153" s="83"/>
      <c r="AO153" s="83"/>
      <c r="AP153" s="83"/>
      <c r="AQ153" s="83"/>
      <c r="AR153" s="153"/>
      <c r="AS153" s="82">
        <f>IF([7]回答表!F17="下水道事業",IF([7]回答表!X45="●",[7]回答表!Y201,IF([7]回答表!AA45="●",[7]回答表!Y267,"")),"")</f>
        <v>0</v>
      </c>
      <c r="AT153" s="83"/>
      <c r="AU153" s="83"/>
      <c r="AV153" s="83"/>
      <c r="AW153" s="83"/>
      <c r="AX153" s="83"/>
      <c r="AY153" s="83"/>
      <c r="AZ153" s="153"/>
      <c r="BA153" s="82" t="str">
        <f>IF([7]回答表!F17="下水道事業",IF([7]回答表!X45="●",[7]回答表!Y202,IF([7]回答表!AA45="●",[7]回答表!Y268,"")),"")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IF([7]回答表!F17="下水道事業",IF([7]回答表!AA45="●","●",""),"")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IF([7]回答表!F17="下水道事業",IF([7]回答表!X45="●",[7]回答表!Y207,IF([7]回答表!AA45="●",[7]回答表!Y273,"")),"")</f>
        <v xml:space="preserve"> </v>
      </c>
      <c r="V159" s="83"/>
      <c r="W159" s="83"/>
      <c r="X159" s="83"/>
      <c r="Y159" s="83"/>
      <c r="Z159" s="83"/>
      <c r="AA159" s="83"/>
      <c r="AB159" s="153"/>
      <c r="AC159" s="82" t="str">
        <f>IF([7]回答表!F17="下水道事業",IF([7]回答表!X45="●",[7]回答表!Y208,IF([7]回答表!AA45="●",[7]回答表!Y274,"")),"")</f>
        <v xml:space="preserve"> </v>
      </c>
      <c r="AD159" s="83"/>
      <c r="AE159" s="83"/>
      <c r="AF159" s="83"/>
      <c r="AG159" s="83"/>
      <c r="AH159" s="83"/>
      <c r="AI159" s="83"/>
      <c r="AJ159" s="153"/>
      <c r="AK159" s="82" t="str">
        <f>IF([7]回答表!F17="下水道事業",IF([7]回答表!X45="●",[7]回答表!Y209,IF([7]回答表!AA45="●",[7]回答表!Y275,"")),"")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IF([7]回答表!F17="下水道事業",IF([7]回答表!AD45="●","●",""),"")</f>
        <v/>
      </c>
      <c r="O164" s="131"/>
      <c r="P164" s="131"/>
      <c r="Q164" s="132"/>
      <c r="R164" s="119"/>
      <c r="S164" s="119"/>
      <c r="T164" s="119"/>
      <c r="U164" s="133" t="str">
        <f>IF([7]回答表!F17="下水道事業",IF([7]回答表!AD45="●",[7]回答表!B289,""),"")</f>
        <v/>
      </c>
      <c r="V164" s="134"/>
      <c r="W164" s="134"/>
      <c r="X164" s="134"/>
      <c r="Y164" s="134"/>
      <c r="Z164" s="134"/>
      <c r="AA164" s="134"/>
      <c r="AB164" s="134"/>
      <c r="AC164" s="134"/>
      <c r="AD164" s="134"/>
      <c r="AE164" s="134"/>
      <c r="AF164" s="134"/>
      <c r="AG164" s="134"/>
      <c r="AH164" s="134"/>
      <c r="AI164" s="134"/>
      <c r="AJ164" s="135"/>
      <c r="AK164" s="183"/>
      <c r="AL164" s="183"/>
      <c r="AM164" s="133" t="str">
        <f>IF([7]回答表!F17="下水道事業",IF([7]回答表!AD45="●",[7]回答表!B295,""),"")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IF([7]回答表!BD17="●",IF([7]回答表!X45="●","●",""),"")</f>
        <v/>
      </c>
      <c r="O176" s="131"/>
      <c r="P176" s="131"/>
      <c r="Q176" s="132"/>
      <c r="R176" s="119"/>
      <c r="S176" s="119"/>
      <c r="T176" s="119"/>
      <c r="U176" s="133" t="str">
        <f>IF([7]回答表!BD17="●",IF([7]回答表!X45="●",[7]回答表!B158,IF([7]回答表!AA45="●",[7]回答表!B223,"")),"")</f>
        <v/>
      </c>
      <c r="V176" s="134"/>
      <c r="W176" s="134"/>
      <c r="X176" s="134"/>
      <c r="Y176" s="134"/>
      <c r="Z176" s="134"/>
      <c r="AA176" s="134"/>
      <c r="AB176" s="134"/>
      <c r="AC176" s="134"/>
      <c r="AD176" s="134"/>
      <c r="AE176" s="134"/>
      <c r="AF176" s="134"/>
      <c r="AG176" s="134"/>
      <c r="AH176" s="134"/>
      <c r="AI176" s="134"/>
      <c r="AJ176" s="135"/>
      <c r="AK176" s="136"/>
      <c r="AL176" s="136"/>
      <c r="AM176" s="138" t="str">
        <f>IF([7]回答表!BD17="●",IF([7]回答表!X45="●",[7]回答表!B212,IF([7]回答表!AA45="●",[7]回答表!B278,"")),"")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IF([7]回答表!BD17="●",IF([7]回答表!X45="●",[7]回答表!E212,IF([7]回答表!AA45="●",[7]回答表!E278,"")),"")</f>
        <v/>
      </c>
      <c r="AN179" s="151"/>
      <c r="AO179" s="151"/>
      <c r="AP179" s="151"/>
      <c r="AQ179" s="150" t="str">
        <f>IF([7]回答表!BD17="●",IF([7]回答表!X45="●",[7]回答表!E213,IF([7]回答表!AA45="●",[7]回答表!E279,"")),"")</f>
        <v/>
      </c>
      <c r="AR179" s="151"/>
      <c r="AS179" s="151"/>
      <c r="AT179" s="151"/>
      <c r="AU179" s="150" t="str">
        <f>IF([7]回答表!BD17="●",IF([7]回答表!X45="●",[7]回答表!E214,IF([7]回答表!AA45="●",[7]回答表!E280,"")),"")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IF([7]回答表!BD17="●",IF([7]回答表!AA45="●","●",""),"")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IF([7]回答表!BD17="●",IF([7]回答表!AD45="●","●",""),"")</f>
        <v/>
      </c>
      <c r="O188" s="131"/>
      <c r="P188" s="131"/>
      <c r="Q188" s="132"/>
      <c r="R188" s="119"/>
      <c r="S188" s="119"/>
      <c r="T188" s="119"/>
      <c r="U188" s="133" t="str">
        <f>IF([7]回答表!BD17="●",IF([7]回答表!AD45="●",[7]回答表!B289,""),"")</f>
        <v/>
      </c>
      <c r="V188" s="134"/>
      <c r="W188" s="134"/>
      <c r="X188" s="134"/>
      <c r="Y188" s="134"/>
      <c r="Z188" s="134"/>
      <c r="AA188" s="134"/>
      <c r="AB188" s="134"/>
      <c r="AC188" s="134"/>
      <c r="AD188" s="134"/>
      <c r="AE188" s="134"/>
      <c r="AF188" s="134"/>
      <c r="AG188" s="134"/>
      <c r="AH188" s="134"/>
      <c r="AI188" s="134"/>
      <c r="AJ188" s="135"/>
      <c r="AK188" s="183"/>
      <c r="AL188" s="183"/>
      <c r="AM188" s="133" t="str">
        <f>IF([7]回答表!BD17="●",IF([7]回答表!AD45="●",[7]回答表!B295,""),"")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IF([7]回答表!X46="●","●","")</f>
        <v/>
      </c>
      <c r="O200" s="131"/>
      <c r="P200" s="131"/>
      <c r="Q200" s="132"/>
      <c r="R200" s="119"/>
      <c r="S200" s="119"/>
      <c r="T200" s="119"/>
      <c r="U200" s="133" t="str">
        <f>IF([7]回答表!X46="●",[7]回答表!B307,IF([7]回答表!AA46="●",[7]回答表!B324,""))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IF([7]回答表!X46="●",[7]回答表!U313,IF([7]回答表!AA46="●",[7]回答表!U330,""))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IF([7]回答表!X46="●",[7]回答表!G313,IF([7]回答表!AA46="●",[7]回答表!G330,""))</f>
        <v/>
      </c>
      <c r="AN203" s="83"/>
      <c r="AO203" s="83"/>
      <c r="AP203" s="83"/>
      <c r="AQ203" s="83"/>
      <c r="AR203" s="83"/>
      <c r="AS203" s="83"/>
      <c r="AT203" s="153"/>
      <c r="AU203" s="82" t="str">
        <f>IF([7]回答表!X46="●",[7]回答表!G314,IF([7]回答表!AA46="●",[7]回答表!G331,""))</f>
        <v/>
      </c>
      <c r="AV203" s="83"/>
      <c r="AW203" s="83"/>
      <c r="AX203" s="83"/>
      <c r="AY203" s="83"/>
      <c r="AZ203" s="83"/>
      <c r="BA203" s="83"/>
      <c r="BB203" s="153"/>
      <c r="BC203" s="120"/>
      <c r="BD203" s="109"/>
      <c r="BE203" s="109"/>
      <c r="BF203" s="150" t="str">
        <f>IF([7]回答表!X46="●",[7]回答表!X313,IF([7]回答表!AA46="●",[7]回答表!X330,""))</f>
        <v/>
      </c>
      <c r="BG203" s="151"/>
      <c r="BH203" s="151"/>
      <c r="BI203" s="151"/>
      <c r="BJ203" s="150" t="str">
        <f>IF([7]回答表!X46="●",[7]回答表!X314,IF([7]回答表!AA46="●",[7]回答表!X331,""))</f>
        <v/>
      </c>
      <c r="BK203" s="151"/>
      <c r="BL203" s="151"/>
      <c r="BM203" s="152"/>
      <c r="BN203" s="150" t="str">
        <f>IF([7]回答表!X46="●",[7]回答表!X315,IF([7]回答表!AA46="●",[7]回答表!X332,""))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IF([7]回答表!AA46="●","●","")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IF([7]回答表!AD46="●","●","")</f>
        <v/>
      </c>
      <c r="O212" s="131"/>
      <c r="P212" s="131"/>
      <c r="Q212" s="132"/>
      <c r="R212" s="119"/>
      <c r="S212" s="119"/>
      <c r="T212" s="119"/>
      <c r="U212" s="133" t="str">
        <f>IF([7]回答表!AD46="●",[7]回答表!B337,"")</f>
        <v/>
      </c>
      <c r="V212" s="134"/>
      <c r="W212" s="134"/>
      <c r="X212" s="134"/>
      <c r="Y212" s="134"/>
      <c r="Z212" s="134"/>
      <c r="AA212" s="134"/>
      <c r="AB212" s="134"/>
      <c r="AC212" s="134"/>
      <c r="AD212" s="134"/>
      <c r="AE212" s="134"/>
      <c r="AF212" s="134"/>
      <c r="AG212" s="134"/>
      <c r="AH212" s="134"/>
      <c r="AI212" s="134"/>
      <c r="AJ212" s="135"/>
      <c r="AK212" s="259"/>
      <c r="AL212" s="259"/>
      <c r="AM212" s="133" t="str">
        <f>IF([7]回答表!AD46="●",[7]回答表!B343,"")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IF([7]回答表!X47="●","●","")</f>
        <v/>
      </c>
      <c r="O224" s="131"/>
      <c r="P224" s="131"/>
      <c r="Q224" s="132"/>
      <c r="R224" s="119"/>
      <c r="S224" s="119"/>
      <c r="T224" s="119"/>
      <c r="U224" s="133" t="str">
        <f>IF([7]回答表!X47="●",[7]回答表!B356,IF([7]回答表!AA47="●",[7]回答表!B379,""))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IF([7]回答表!X47="●",[7]回答表!B362,"")</f>
        <v/>
      </c>
      <c r="AO224" s="263"/>
      <c r="AP224" s="263"/>
      <c r="AQ224" s="263"/>
      <c r="AR224" s="263"/>
      <c r="AS224" s="263"/>
      <c r="AT224" s="263"/>
      <c r="AU224" s="263"/>
      <c r="AV224" s="263"/>
      <c r="AW224" s="263"/>
      <c r="AX224" s="263"/>
      <c r="AY224" s="263"/>
      <c r="AZ224" s="263"/>
      <c r="BA224" s="263"/>
      <c r="BB224" s="264"/>
      <c r="BC224" s="120"/>
      <c r="BD224" s="109"/>
      <c r="BE224" s="109"/>
      <c r="BF224" s="138" t="str">
        <f>IF([7]回答表!X47="●",[7]回答表!B368,IF([7]回答表!AA47="●",[7]回答表!B385,""))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IF([7]回答表!X47="●",[7]回答表!E368,IF([7]回答表!AA47="●",[7]回答表!E385,""))</f>
        <v/>
      </c>
      <c r="BG227" s="151"/>
      <c r="BH227" s="151"/>
      <c r="BI227" s="151"/>
      <c r="BJ227" s="150" t="str">
        <f>IF([7]回答表!X47="●",[7]回答表!E369,IF([7]回答表!AA47="●",[7]回答表!E386,""))</f>
        <v/>
      </c>
      <c r="BK227" s="151"/>
      <c r="BL227" s="151"/>
      <c r="BM227" s="152"/>
      <c r="BN227" s="150" t="str">
        <f>IF([7]回答表!X47="●",[7]回答表!E370,IF([7]回答表!AA47="●",[7]回答表!E387,""))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IF([7]回答表!AA47="●","●","")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IF([7]回答表!AD47="●","●","")</f>
        <v/>
      </c>
      <c r="O236" s="131"/>
      <c r="P236" s="131"/>
      <c r="Q236" s="132"/>
      <c r="R236" s="119"/>
      <c r="S236" s="119"/>
      <c r="T236" s="119"/>
      <c r="U236" s="133" t="str">
        <f>IF([7]回答表!AD47="●",[7]回答表!B392,"")</f>
        <v/>
      </c>
      <c r="V236" s="134"/>
      <c r="W236" s="134"/>
      <c r="X236" s="134"/>
      <c r="Y236" s="134"/>
      <c r="Z236" s="134"/>
      <c r="AA236" s="134"/>
      <c r="AB236" s="134"/>
      <c r="AC236" s="134"/>
      <c r="AD236" s="134"/>
      <c r="AE236" s="134"/>
      <c r="AF236" s="134"/>
      <c r="AG236" s="134"/>
      <c r="AH236" s="134"/>
      <c r="AI236" s="134"/>
      <c r="AJ236" s="135"/>
      <c r="AK236" s="259"/>
      <c r="AL236" s="259"/>
      <c r="AM236" s="133" t="str">
        <f>IF([7]回答表!AD47="●",[7]回答表!B398,"")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IF([7]回答表!X48="●","●","")</f>
        <v/>
      </c>
      <c r="O248" s="131"/>
      <c r="P248" s="131"/>
      <c r="Q248" s="132"/>
      <c r="R248" s="119"/>
      <c r="S248" s="119"/>
      <c r="T248" s="119"/>
      <c r="U248" s="133" t="str">
        <f>IF([7]回答表!X48="●",[7]回答表!B411,IF([7]回答表!AA48="●",[7]回答表!B425,""))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IF([7]回答表!X48="●",[7]回答表!BC418,IF([7]回答表!AA48="●",[7]回答表!BC432,""))</f>
        <v/>
      </c>
      <c r="AR248" s="272"/>
      <c r="AS248" s="272"/>
      <c r="AT248" s="272"/>
      <c r="AU248" s="273" t="s">
        <v>73</v>
      </c>
      <c r="AV248" s="274"/>
      <c r="AW248" s="274"/>
      <c r="AX248" s="275"/>
      <c r="AY248" s="272" t="str">
        <f>IF([7]回答表!X48="●",[7]回答表!BC423,IF([7]回答表!AA48="●",[7]回答表!BC437,""))</f>
        <v/>
      </c>
      <c r="AZ248" s="272"/>
      <c r="BA248" s="272"/>
      <c r="BB248" s="272"/>
      <c r="BC248" s="120"/>
      <c r="BD248" s="109"/>
      <c r="BE248" s="109"/>
      <c r="BF248" s="138" t="str">
        <f>IF([7]回答表!X48="●",[7]回答表!S417,IF([7]回答表!AA48="●",[7]回答表!S431,""))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IF([7]回答表!X48="●",[7]回答表!BC419,IF([7]回答表!AA48="●",[7]回答表!BC433,""))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IF([7]回答表!X48="●",[7]回答表!V417,IF([7]回答表!AA48="●",[7]回答表!V431,""))</f>
        <v/>
      </c>
      <c r="BG251" s="151"/>
      <c r="BH251" s="151"/>
      <c r="BI251" s="151"/>
      <c r="BJ251" s="150" t="str">
        <f>IF([7]回答表!X48="●",[7]回答表!V418,IF([7]回答表!AA48="●",[7]回答表!V432,""))</f>
        <v/>
      </c>
      <c r="BK251" s="151"/>
      <c r="BL251" s="151"/>
      <c r="BM251" s="152"/>
      <c r="BN251" s="150" t="str">
        <f>IF([7]回答表!X48="●",[7]回答表!V419,IF([7]回答表!AA48="●",[7]回答表!V433,""))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IF([7]回答表!X48="●",[7]回答表!BC420,IF([7]回答表!AA48="●",[7]回答表!BC434,""))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IF([7]回答表!X48="●",[7]回答表!BC424,IF([7]回答表!AA48="●",[7]回答表!BC438,""))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IF([7]回答表!AA48="●","●","")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IF([7]回答表!X48="●",[7]回答表!BC421,IF([7]回答表!AA48="●",[7]回答表!BC435,""))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IF([7]回答表!X48="●",[7]回答表!BC422,IF([7]回答表!AA48="●",[7]回答表!BC436,""))</f>
        <v/>
      </c>
      <c r="AR256" s="272"/>
      <c r="AS256" s="272"/>
      <c r="AT256" s="272"/>
      <c r="AU256" s="224" t="s">
        <v>79</v>
      </c>
      <c r="AV256" s="225"/>
      <c r="AW256" s="225"/>
      <c r="AX256" s="226"/>
      <c r="AY256" s="282" t="str">
        <f>IF([7]回答表!X48="●",[7]回答表!BC425,IF([7]回答表!AA48="●",[7]回答表!BC439,""))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IF([7]回答表!AD48="●","●","")</f>
        <v/>
      </c>
      <c r="O260" s="131"/>
      <c r="P260" s="131"/>
      <c r="Q260" s="132"/>
      <c r="R260" s="119"/>
      <c r="S260" s="119"/>
      <c r="T260" s="119"/>
      <c r="U260" s="133" t="str">
        <f>IF([7]回答表!AD48="●",[7]回答表!B439,"")</f>
        <v/>
      </c>
      <c r="V260" s="134"/>
      <c r="W260" s="134"/>
      <c r="X260" s="134"/>
      <c r="Y260" s="134"/>
      <c r="Z260" s="134"/>
      <c r="AA260" s="134"/>
      <c r="AB260" s="134"/>
      <c r="AC260" s="134"/>
      <c r="AD260" s="134"/>
      <c r="AE260" s="134"/>
      <c r="AF260" s="134"/>
      <c r="AG260" s="134"/>
      <c r="AH260" s="134"/>
      <c r="AI260" s="134"/>
      <c r="AJ260" s="135"/>
      <c r="AK260" s="183"/>
      <c r="AL260" s="183"/>
      <c r="AM260" s="133" t="str">
        <f>IF([7]回答表!AD48="●",[7]回答表!B445,"")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IF([7]回答表!X49="●","●","")</f>
        <v/>
      </c>
      <c r="O271" s="131"/>
      <c r="P271" s="131"/>
      <c r="Q271" s="132"/>
      <c r="R271" s="119"/>
      <c r="S271" s="119"/>
      <c r="T271" s="119"/>
      <c r="U271" s="133" t="str">
        <f>IF([7]回答表!X49="●",[7]回答表!B458,IF([7]回答表!AA49="●",[7]回答表!B475,""))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IF([7]回答表!X49="●",[7]回答表!B468,IF([7]回答表!AA49="●",[7]回答表!B485,""))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IF([7]回答表!X49="●",[7]回答表!G464,IF([7]回答表!AA49="●",[7]回答表!G481,""))</f>
        <v/>
      </c>
      <c r="AN273" s="83"/>
      <c r="AO273" s="83"/>
      <c r="AP273" s="83"/>
      <c r="AQ273" s="83"/>
      <c r="AR273" s="83"/>
      <c r="AS273" s="83"/>
      <c r="AT273" s="153"/>
      <c r="AU273" s="82" t="str">
        <f>IF([7]回答表!X49="●",[7]回答表!G465,IF([7]回答表!AA49="●",[7]回答表!G482,""))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IF([7]回答表!X49="●",[7]回答表!E468,IF([7]回答表!AA49="●",[7]回答表!E485,""))</f>
        <v/>
      </c>
      <c r="BG274" s="151"/>
      <c r="BH274" s="151"/>
      <c r="BI274" s="151"/>
      <c r="BJ274" s="150" t="str">
        <f>IF([7]回答表!X49="●",[7]回答表!E469,IF([7]回答表!AA49="●",[7]回答表!E486,""))</f>
        <v/>
      </c>
      <c r="BK274" s="151"/>
      <c r="BL274" s="151"/>
      <c r="BM274" s="152"/>
      <c r="BN274" s="150" t="str">
        <f>IF([7]回答表!X49="●",[7]回答表!E470,IF([7]回答表!AA49="●",[7]回答表!E487,""))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IF([7]回答表!AA49="●","●","")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IF([7]回答表!AD49="●","●","")</f>
        <v/>
      </c>
      <c r="O283" s="131"/>
      <c r="P283" s="131"/>
      <c r="Q283" s="132"/>
      <c r="R283" s="119"/>
      <c r="S283" s="119"/>
      <c r="T283" s="119"/>
      <c r="U283" s="133" t="str">
        <f>IF([7]回答表!AD49="●",[7]回答表!B492,"")</f>
        <v/>
      </c>
      <c r="V283" s="134"/>
      <c r="W283" s="134"/>
      <c r="X283" s="134"/>
      <c r="Y283" s="134"/>
      <c r="Z283" s="134"/>
      <c r="AA283" s="134"/>
      <c r="AB283" s="134"/>
      <c r="AC283" s="134"/>
      <c r="AD283" s="134"/>
      <c r="AE283" s="134"/>
      <c r="AF283" s="134"/>
      <c r="AG283" s="134"/>
      <c r="AH283" s="134"/>
      <c r="AI283" s="134"/>
      <c r="AJ283" s="135"/>
      <c r="AK283" s="136"/>
      <c r="AL283" s="136"/>
      <c r="AM283" s="133" t="str">
        <f>IF([7]回答表!AD49="●",[7]回答表!B498,"")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IF([7]回答表!R50="●",[7]回答表!B511,"")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9" priority="2">
      <formula>$BB$25="○"</formula>
    </cfRule>
  </conditionalFormatting>
  <conditionalFormatting sqref="BD28:BD30">
    <cfRule type="expression" dxfId="1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E2F25-3BB5-40DA-9A9E-9839F5C0DE31}">
  <sheetPr>
    <pageSetUpPr fitToPage="1"/>
  </sheetPr>
  <dimension ref="A1:CN315"/>
  <sheetViews>
    <sheetView showZeros="0" view="pageBreakPreview" zoomScale="60" zoomScaleNormal="55" workbookViewId="0">
      <selection activeCell="U36" sqref="U36:AJ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IF(COUNTIF([8]回答表!K15,"*")&gt;0,[8]回答表!K15,"")</f>
        <v>由利本荘市</v>
      </c>
      <c r="D11" s="8"/>
      <c r="E11" s="8"/>
      <c r="F11" s="8"/>
      <c r="G11" s="8"/>
      <c r="H11" s="8"/>
      <c r="I11" s="8"/>
      <c r="J11" s="8"/>
      <c r="K11" s="8"/>
      <c r="L11" s="8"/>
      <c r="M11" s="8"/>
      <c r="N11" s="8"/>
      <c r="O11" s="8"/>
      <c r="P11" s="8"/>
      <c r="Q11" s="8"/>
      <c r="R11" s="8"/>
      <c r="S11" s="8"/>
      <c r="T11" s="8"/>
      <c r="U11" s="22" t="str">
        <f>IF(COUNTIF([8]回答表!F17,"*")&gt;0,[8]回答表!F17,"")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IF(COUNTIF([8]回答表!W17,"*")&gt;0,[8]回答表!W17,"")</f>
        <v>小規模集合排水施設</v>
      </c>
      <c r="AP11" s="10"/>
      <c r="AQ11" s="10"/>
      <c r="AR11" s="10"/>
      <c r="AS11" s="10"/>
      <c r="AT11" s="10"/>
      <c r="AU11" s="10"/>
      <c r="AV11" s="10"/>
      <c r="AW11" s="10"/>
      <c r="AX11" s="10"/>
      <c r="AY11" s="10"/>
      <c r="AZ11" s="10"/>
      <c r="BA11" s="10"/>
      <c r="BB11" s="10"/>
      <c r="BC11" s="10"/>
      <c r="BD11" s="10"/>
      <c r="BE11" s="10"/>
      <c r="BF11" s="11"/>
      <c r="BG11" s="21" t="str">
        <f>IF(COUNTIF([8]回答表!F19,"*")&gt;0,[8]回答表!F19,"")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IF([8]回答表!R43="●","●","")</f>
        <v/>
      </c>
      <c r="E24" s="80"/>
      <c r="F24" s="80"/>
      <c r="G24" s="80"/>
      <c r="H24" s="80"/>
      <c r="I24" s="80"/>
      <c r="J24" s="81"/>
      <c r="K24" s="79" t="str">
        <f>IF([8]回答表!R44="●","●","")</f>
        <v/>
      </c>
      <c r="L24" s="80"/>
      <c r="M24" s="80"/>
      <c r="N24" s="80"/>
      <c r="O24" s="80"/>
      <c r="P24" s="80"/>
      <c r="Q24" s="81"/>
      <c r="R24" s="79" t="str">
        <f>IF([8]回答表!R45="●","●","")</f>
        <v/>
      </c>
      <c r="S24" s="80"/>
      <c r="T24" s="80"/>
      <c r="U24" s="80"/>
      <c r="V24" s="80"/>
      <c r="W24" s="80"/>
      <c r="X24" s="81"/>
      <c r="Y24" s="79" t="str">
        <f>IF([8]回答表!R46="●","●","")</f>
        <v/>
      </c>
      <c r="Z24" s="80"/>
      <c r="AA24" s="80"/>
      <c r="AB24" s="80"/>
      <c r="AC24" s="80"/>
      <c r="AD24" s="80"/>
      <c r="AE24" s="81"/>
      <c r="AF24" s="79" t="str">
        <f>IF([8]回答表!R47="●","●","")</f>
        <v/>
      </c>
      <c r="AG24" s="80"/>
      <c r="AH24" s="80"/>
      <c r="AI24" s="80"/>
      <c r="AJ24" s="80"/>
      <c r="AK24" s="80"/>
      <c r="AL24" s="81"/>
      <c r="AM24" s="79" t="str">
        <f>IF([8]回答表!R48="●","●","")</f>
        <v/>
      </c>
      <c r="AN24" s="80"/>
      <c r="AO24" s="80"/>
      <c r="AP24" s="80"/>
      <c r="AQ24" s="80"/>
      <c r="AR24" s="80"/>
      <c r="AS24" s="81"/>
      <c r="AT24" s="79" t="str">
        <f>IF([8]回答表!R49="●","●","")</f>
        <v/>
      </c>
      <c r="AU24" s="80"/>
      <c r="AV24" s="80"/>
      <c r="AW24" s="80"/>
      <c r="AX24" s="80"/>
      <c r="AY24" s="80"/>
      <c r="AZ24" s="81"/>
      <c r="BA24" s="68"/>
      <c r="BB24" s="82" t="str">
        <f>IF([8]回答表!R50="●","●","")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IF([8]回答表!X43="●","●","")</f>
        <v/>
      </c>
      <c r="O36" s="131"/>
      <c r="P36" s="131"/>
      <c r="Q36" s="132"/>
      <c r="R36" s="119"/>
      <c r="S36" s="119"/>
      <c r="T36" s="119"/>
      <c r="U36" s="133" t="str">
        <f>IF([8]回答表!X43="●",[8]回答表!B59,IF([8]回答表!AA43="●",[8]回答表!B79,""))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IF([8]回答表!X43="●",[8]回答表!S65,IF([8]回答表!AA43="●",[8]回答表!S85,""))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IF([8]回答表!X43="●",[8]回答表!G65,IF([8]回答表!AA43="●",[8]回答表!G85,""))</f>
        <v/>
      </c>
      <c r="AN38" s="83"/>
      <c r="AO38" s="83"/>
      <c r="AP38" s="83"/>
      <c r="AQ38" s="83"/>
      <c r="AR38" s="83"/>
      <c r="AS38" s="83"/>
      <c r="AT38" s="153"/>
      <c r="AU38" s="82" t="str">
        <f>IF([8]回答表!X43="●",[8]回答表!G66,IF([8]回答表!AA43="●",[8]回答表!G86,""))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IF([8]回答表!X43="●",[8]回答表!V65,IF([8]回答表!AA43="●",[8]回答表!V85,""))</f>
        <v/>
      </c>
      <c r="BG39" s="16"/>
      <c r="BH39" s="16"/>
      <c r="BI39" s="17"/>
      <c r="BJ39" s="150" t="str">
        <f>IF([8]回答表!X43="●",[8]回答表!V66,IF([8]回答表!AA43="●",[8]回答表!V86,""))</f>
        <v/>
      </c>
      <c r="BK39" s="16"/>
      <c r="BL39" s="16"/>
      <c r="BM39" s="17"/>
      <c r="BN39" s="150" t="str">
        <f>IF([8]回答表!X43="●",[8]回答表!V67,IF([8]回答表!AA43="●",[8]回答表!V87,""))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IF([8]回答表!X43="●",[8]回答表!O71,IF([8]回答表!AA43="●",[8]回答表!O91,""))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IF([8]回答表!X43="●",[8]回答表!O72,IF([8]回答表!AA43="●",[8]回答表!O92,""))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IF([8]回答表!AA43="●","●","")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IF([8]回答表!X43="●",[8]回答表!O73,IF([8]回答表!AA43="●",[8]回答表!O93,""))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IF([8]回答表!X43="●",[8]回答表!O74,IF([8]回答表!AA43="●",[8]回答表!O94,""))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IF([8]回答表!X43="●",[8]回答表!AG71,IF([8]回答表!AA43="●",[8]回答表!AG91,""))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IF([8]回答表!X43="●",[8]回答表!AG72,IF([8]回答表!AA43="●",[8]回答表!AG92,""))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IF([8]回答表!AD43="●","●","")</f>
        <v/>
      </c>
      <c r="O51" s="131"/>
      <c r="P51" s="131"/>
      <c r="Q51" s="132"/>
      <c r="R51" s="119"/>
      <c r="S51" s="119"/>
      <c r="T51" s="119"/>
      <c r="U51" s="133" t="str">
        <f>IF([8]回答表!AD43="●",[8]回答表!B99,"")</f>
        <v/>
      </c>
      <c r="V51" s="134"/>
      <c r="W51" s="134"/>
      <c r="X51" s="134"/>
      <c r="Y51" s="134"/>
      <c r="Z51" s="134"/>
      <c r="AA51" s="134"/>
      <c r="AB51" s="134"/>
      <c r="AC51" s="134"/>
      <c r="AD51" s="134"/>
      <c r="AE51" s="134"/>
      <c r="AF51" s="134"/>
      <c r="AG51" s="134"/>
      <c r="AH51" s="134"/>
      <c r="AI51" s="134"/>
      <c r="AJ51" s="135"/>
      <c r="AK51" s="183"/>
      <c r="AL51" s="183"/>
      <c r="AM51" s="133" t="str">
        <f>IF([8]回答表!AD43="●",[8]回答表!B104,"")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IF([8]回答表!X44="●","●","")</f>
        <v/>
      </c>
      <c r="O62" s="131"/>
      <c r="P62" s="131"/>
      <c r="Q62" s="132"/>
      <c r="R62" s="119"/>
      <c r="S62" s="119"/>
      <c r="T62" s="119"/>
      <c r="U62" s="133" t="str">
        <f>IF([8]回答表!X44="●",[8]回答表!B115,IF([8]回答表!AA44="●",[8]回答表!B127,""))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IF([8]回答表!X44="●",[8]回答表!S121,IF([8]回答表!AA44="●",[8]回答表!S133,""))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IF([8]回答表!X44="●",[8]回答表!J121,IF([8]回答表!AA44="●",[8]回答表!J133,""))</f>
        <v/>
      </c>
      <c r="AN65" s="83"/>
      <c r="AO65" s="83"/>
      <c r="AP65" s="83"/>
      <c r="AQ65" s="83"/>
      <c r="AR65" s="83"/>
      <c r="AS65" s="83"/>
      <c r="AT65" s="153"/>
      <c r="AU65" s="82" t="str">
        <f>IF([8]回答表!X44="●",[8]回答表!J122,IF([8]回答表!AA44="●",[8]回答表!J134,""))</f>
        <v/>
      </c>
      <c r="AV65" s="83"/>
      <c r="AW65" s="83"/>
      <c r="AX65" s="83"/>
      <c r="AY65" s="83"/>
      <c r="AZ65" s="83"/>
      <c r="BA65" s="83"/>
      <c r="BB65" s="153"/>
      <c r="BC65" s="120"/>
      <c r="BD65" s="109"/>
      <c r="BE65" s="109"/>
      <c r="BF65" s="150" t="str">
        <f>IF([8]回答表!X44="●",[8]回答表!V121,IF([8]回答表!AA44="●",[8]回答表!V133,""))</f>
        <v/>
      </c>
      <c r="BG65" s="151"/>
      <c r="BH65" s="151"/>
      <c r="BI65" s="151"/>
      <c r="BJ65" s="150" t="str">
        <f>IF([8]回答表!X44="●",[8]回答表!V122,IF([8]回答表!AA44="●",[8]回答表!V134,""))</f>
        <v/>
      </c>
      <c r="BK65" s="151"/>
      <c r="BL65" s="151"/>
      <c r="BM65" s="151"/>
      <c r="BN65" s="150" t="str">
        <f>IF([8]回答表!X44="●",[8]回答表!V123,IF([8]回答表!AA44="●",[8]回答表!V135,""))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IF([8]回答表!AA44="●","●","")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IF([8]回答表!AD44="●","●","")</f>
        <v/>
      </c>
      <c r="O74" s="131"/>
      <c r="P74" s="131"/>
      <c r="Q74" s="132"/>
      <c r="R74" s="119"/>
      <c r="S74" s="119"/>
      <c r="T74" s="119"/>
      <c r="U74" s="133" t="str">
        <f>IF([8]回答表!AD44="●",[8]回答表!B140,"")</f>
        <v/>
      </c>
      <c r="V74" s="134"/>
      <c r="W74" s="134"/>
      <c r="X74" s="134"/>
      <c r="Y74" s="134"/>
      <c r="Z74" s="134"/>
      <c r="AA74" s="134"/>
      <c r="AB74" s="134"/>
      <c r="AC74" s="134"/>
      <c r="AD74" s="134"/>
      <c r="AE74" s="134"/>
      <c r="AF74" s="134"/>
      <c r="AG74" s="134"/>
      <c r="AH74" s="134"/>
      <c r="AI74" s="134"/>
      <c r="AJ74" s="135"/>
      <c r="AK74" s="183"/>
      <c r="AL74" s="183"/>
      <c r="AM74" s="133" t="str">
        <f>IF([8]回答表!AD44="●",[8]回答表!B146,"")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IF([8]回答表!F17="水道事業",IF([8]回答表!X45="●","●",""),"")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IF([8]回答表!F17="水道事業",IF([8]回答表!X45="●",[8]回答表!B158,IF([8]回答表!AA45="●",[8]回答表!B223,"")),"")</f>
        <v/>
      </c>
      <c r="AN86" s="201"/>
      <c r="AO86" s="201"/>
      <c r="AP86" s="201"/>
      <c r="AQ86" s="201"/>
      <c r="AR86" s="201"/>
      <c r="AS86" s="201"/>
      <c r="AT86" s="201"/>
      <c r="AU86" s="201"/>
      <c r="AV86" s="201"/>
      <c r="AW86" s="201"/>
      <c r="AX86" s="201"/>
      <c r="AY86" s="201"/>
      <c r="AZ86" s="201"/>
      <c r="BA86" s="201"/>
      <c r="BB86" s="201"/>
      <c r="BC86" s="202"/>
      <c r="BD86" s="109"/>
      <c r="BE86" s="109"/>
      <c r="BF86" s="138" t="str">
        <f>IF([8]回答表!F17="水道事業",IF([8]回答表!X45="●",[8]回答表!B212,IF([8]回答表!AA45="●",[8]回答表!B278,"")),"")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IF([8]回答表!F17="水道事業",IF([8]回答表!X45="●",[8]回答表!J166,IF([8]回答表!AA45="●",[8]回答表!J231,"")),"")</f>
        <v/>
      </c>
      <c r="V88" s="83"/>
      <c r="W88" s="83"/>
      <c r="X88" s="83"/>
      <c r="Y88" s="83"/>
      <c r="Z88" s="83"/>
      <c r="AA88" s="83"/>
      <c r="AB88" s="153"/>
      <c r="AC88" s="82" t="str">
        <f>IF([8]回答表!F17="水道事業",IF([8]回答表!X45="●",[8]回答表!J173,IF([8]回答表!AA45="●",[8]回答表!J238,"")),"")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IF([8]回答表!F17="水道事業",IF([8]回答表!X45="●",[8]回答表!E212,IF([8]回答表!AA45="●",[8]回答表!E278,"")),"")</f>
        <v/>
      </c>
      <c r="BG89" s="151"/>
      <c r="BH89" s="151"/>
      <c r="BI89" s="151"/>
      <c r="BJ89" s="150" t="str">
        <f>IF([8]回答表!F17="水道事業",IF([8]回答表!X45="●",[8]回答表!E213,IF([8]回答表!AA45="●",[8]回答表!E279,"")),"")</f>
        <v/>
      </c>
      <c r="BK89" s="151"/>
      <c r="BL89" s="151"/>
      <c r="BM89" s="151"/>
      <c r="BN89" s="150" t="str">
        <f>IF([8]回答表!F17="水道事業",IF([8]回答表!X45="●",[8]回答表!E214,IF([8]回答表!AA45="●",[8]回答表!E280,"")),"")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IF([8]回答表!F17="水道事業",IF([8]回答表!AA45="●","●",""),"")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IF([8]回答表!F17="水道事業",IF([8]回答表!X45="●",[8]回答表!J176,IF([8]回答表!AA45="●",[8]回答表!J241,"")),"")</f>
        <v/>
      </c>
      <c r="V93" s="83"/>
      <c r="W93" s="83"/>
      <c r="X93" s="83"/>
      <c r="Y93" s="83"/>
      <c r="Z93" s="83"/>
      <c r="AA93" s="83"/>
      <c r="AB93" s="153"/>
      <c r="AC93" s="82" t="str">
        <f>IF([8]回答表!F17="水道事業",IF([8]回答表!X45="●",[8]回答表!J180,IF([8]回答表!AA45="●",[8]回答表!J245,"")),"")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IF([8]回答表!F17="水道事業",IF([8]回答表!AD45="○","○",""),"")</f>
        <v/>
      </c>
      <c r="O98" s="131"/>
      <c r="P98" s="131"/>
      <c r="Q98" s="132"/>
      <c r="R98" s="119"/>
      <c r="S98" s="119"/>
      <c r="T98" s="119"/>
      <c r="U98" s="133" t="str">
        <f>IF([8]回答表!F17="水道事業",IF([8]回答表!AD45="●",[8]回答表!B289,""),"")</f>
        <v/>
      </c>
      <c r="V98" s="134"/>
      <c r="W98" s="134"/>
      <c r="X98" s="134"/>
      <c r="Y98" s="134"/>
      <c r="Z98" s="134"/>
      <c r="AA98" s="134"/>
      <c r="AB98" s="134"/>
      <c r="AC98" s="134"/>
      <c r="AD98" s="134"/>
      <c r="AE98" s="134"/>
      <c r="AF98" s="134"/>
      <c r="AG98" s="134"/>
      <c r="AH98" s="134"/>
      <c r="AI98" s="134"/>
      <c r="AJ98" s="135"/>
      <c r="AK98" s="183"/>
      <c r="AL98" s="183"/>
      <c r="AM98" s="133" t="str">
        <f>IF([8]回答表!F17="水道事業",IF([8]回答表!AD45="●",[8]回答表!B295,""),"")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IF([8]回答表!F17="簡易水道事業",IF([8]回答表!X45="●",[8]回答表!B158,IF([8]回答表!AA45="●",[8]回答表!B223,"")),"")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IF([8]回答表!F17="簡易水道事業",IF([8]回答表!X45="●",[8]回答表!B212,IF([8]回答表!AA45="●",[8]回答表!B278,"")),"")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IF([8]回答表!F17="簡易水道事業",IF([8]回答表!X45="●","●",""),"")</f>
        <v/>
      </c>
      <c r="O112" s="131"/>
      <c r="P112" s="131"/>
      <c r="Q112" s="132"/>
      <c r="R112" s="119"/>
      <c r="S112" s="119"/>
      <c r="T112" s="119"/>
      <c r="U112" s="82" t="str">
        <f>IF([8]回答表!F17="簡易水道事業",IF([8]回答表!X45="●",[8]回答表!Y185,IF([8]回答表!AA45="●",[8]回答表!Y251,"")),"")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IF([8]回答表!F17="簡易水道事業",IF([8]回答表!X45="●",[8]回答表!E212,IF([8]回答表!AA45="●",[8]回答表!E278,"")),"")</f>
        <v/>
      </c>
      <c r="BG113" s="151"/>
      <c r="BH113" s="151"/>
      <c r="BI113" s="151"/>
      <c r="BJ113" s="150" t="str">
        <f>IF([8]回答表!F17="簡易水道事業",IF([8]回答表!X45="●",[8]回答表!E213,IF([8]回答表!AA45="●",[8]回答表!E279,"")),"")</f>
        <v/>
      </c>
      <c r="BK113" s="151"/>
      <c r="BL113" s="151"/>
      <c r="BM113" s="151"/>
      <c r="BN113" s="150" t="str">
        <f>IF([8]回答表!F17="簡易水道事業",IF([8]回答表!X45="●",[8]回答表!E214,IF([8]回答表!AA45="●",[8]回答表!E280,"")),"")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IF([8]回答表!F17="簡易水道事業",IF([8]回答表!X45="●",[8]回答表!Y186,IF([8]回答表!AA45="●",[8]回答表!Y252,"")),"")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IF([8]回答表!F17="簡易水道事業",IF([8]回答表!AA45="●","●",""),"")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IF([8]回答表!F17="簡易水道事業",IF([8]回答表!X45="●",[8]回答表!Y187,IF([8]回答表!AA45="●",[8]回答表!Y253,"")),"")</f>
        <v/>
      </c>
      <c r="V122" s="83"/>
      <c r="W122" s="83"/>
      <c r="X122" s="83"/>
      <c r="Y122" s="83"/>
      <c r="Z122" s="83"/>
      <c r="AA122" s="83"/>
      <c r="AB122" s="83"/>
      <c r="AC122" s="83"/>
      <c r="AD122" s="83"/>
      <c r="AE122" s="83"/>
      <c r="AF122" s="83"/>
      <c r="AG122" s="83"/>
      <c r="AH122" s="83"/>
      <c r="AI122" s="83"/>
      <c r="AJ122" s="153"/>
      <c r="AK122" s="68"/>
      <c r="AL122" s="68"/>
      <c r="AM122" s="233" t="str">
        <f>IF([8]回答表!F17="簡易水道事業",IF([8]回答表!X45="●",[8]回答表!Y189,IF([8]回答表!AA45="●",[8]回答表!Y255,"")),"")</f>
        <v/>
      </c>
      <c r="AN122" s="233"/>
      <c r="AO122" s="233"/>
      <c r="AP122" s="233"/>
      <c r="AQ122" s="233"/>
      <c r="AR122" s="233"/>
      <c r="AS122" s="233" t="str">
        <f>IF([8]回答表!F17="簡易水道事業",IF([8]回答表!X45="●",[8]回答表!Y190,IF([8]回答表!AA45="●",[8]回答表!Y256,"")),"")</f>
        <v/>
      </c>
      <c r="AT122" s="233"/>
      <c r="AU122" s="233"/>
      <c r="AV122" s="233"/>
      <c r="AW122" s="233"/>
      <c r="AX122" s="233"/>
      <c r="AY122" s="233" t="str">
        <f>IF([8]回答表!F17="簡易水道事業",IF([8]回答表!X45="●",[8]回答表!Y191,IF([8]回答表!AA45="●",[8]回答表!Y257,"")),"")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IF([8]回答表!F17="簡易水道事業",IF([8]回答表!AD45="●","●",""),"")</f>
        <v/>
      </c>
      <c r="O127" s="131"/>
      <c r="P127" s="131"/>
      <c r="Q127" s="132"/>
      <c r="R127" s="119"/>
      <c r="S127" s="119"/>
      <c r="T127" s="119"/>
      <c r="U127" s="133" t="str">
        <f>IF([8]回答表!F17="簡易水道事業",IF([8]回答表!AD45="●",[8]回答表!B289,""),"")</f>
        <v/>
      </c>
      <c r="V127" s="134"/>
      <c r="W127" s="134"/>
      <c r="X127" s="134"/>
      <c r="Y127" s="134"/>
      <c r="Z127" s="134"/>
      <c r="AA127" s="134"/>
      <c r="AB127" s="134"/>
      <c r="AC127" s="134"/>
      <c r="AD127" s="134"/>
      <c r="AE127" s="134"/>
      <c r="AF127" s="134"/>
      <c r="AG127" s="134"/>
      <c r="AH127" s="134"/>
      <c r="AI127" s="134"/>
      <c r="AJ127" s="135"/>
      <c r="AK127" s="183"/>
      <c r="AL127" s="183"/>
      <c r="AM127" s="133" t="str">
        <f>IF([8]回答表!F17="簡易水道事業",IF([8]回答表!AD45="●",[8]回答表!B295,""),"")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IF([8]回答表!F17="下水道事業",IF([8]回答表!X45="●","●",""),"")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IF([8]回答表!F17="下水道事業",IF([8]回答表!X45="●",[8]回答表!B158,IF([8]回答表!AA45="●",[8]回答表!B223,"")),"")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IF([8]回答表!F17="下水道事業",IF([8]回答表!X45="●",[8]回答表!B212,IF([8]回答表!AA45="●",[8]回答表!B278,"")),"")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IF([8]回答表!F17="下水道事業",IF([8]回答表!X45="●",[8]回答表!Y193,IF([8]回答表!AA45="●",[8]回答表!Y259,"")),"")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IF([8]回答表!F17="下水道事業",IF([8]回答表!X45="●",[8]回答表!E212,IF([8]回答表!AA45="●",[8]回答表!E278,"")),"")</f>
        <v/>
      </c>
      <c r="BG142" s="151"/>
      <c r="BH142" s="151"/>
      <c r="BI142" s="151"/>
      <c r="BJ142" s="150" t="str">
        <f>IF([8]回答表!F17="下水道事業",IF([8]回答表!X45="●",[8]回答表!E213,IF([8]回答表!AA45="●",[8]回答表!E279,"")),"")</f>
        <v/>
      </c>
      <c r="BK142" s="151"/>
      <c r="BL142" s="151"/>
      <c r="BM142" s="151"/>
      <c r="BN142" s="150" t="str">
        <f>IF([8]回答表!F17="下水道事業",IF([8]回答表!X45="●",[8]回答表!E214,IF([8]回答表!AA45="●",[8]回答表!E280,"")),"")</f>
        <v/>
      </c>
      <c r="BO142" s="151"/>
      <c r="BP142" s="151"/>
      <c r="BQ142" s="152"/>
      <c r="BR142" s="112"/>
      <c r="BX142" s="200" t="str">
        <f>IF([8]回答表!AQ20="下水道事業",IF([8]回答表!BI48="○",[8]回答表!AM161,IF([8]回答表!BL48="○",[8]回答表!AM226,"")),"")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IF([8]回答表!F17="下水道事業",IF([8]回答表!X45="●",[8]回答表!Y195,IF([8]回答表!AA45="●",[8]回答表!Y261,"")),"")</f>
        <v/>
      </c>
      <c r="V147" s="83"/>
      <c r="W147" s="83"/>
      <c r="X147" s="83"/>
      <c r="Y147" s="83"/>
      <c r="Z147" s="83"/>
      <c r="AA147" s="83"/>
      <c r="AB147" s="153"/>
      <c r="AC147" s="82" t="str">
        <f>IF([8]回答表!F17="下水道事業",IF([8]回答表!X45="●",[8]回答表!Y196,IF([8]回答表!AA45="●",[8]回答表!Y262,"")),"")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IF([8]回答表!F17="下水道事業",IF([8]回答表!X45="●",[8]回答表!Y198,IF([8]回答表!AA45="●",[8]回答表!Y264,"")),"")</f>
        <v/>
      </c>
      <c r="V153" s="83"/>
      <c r="W153" s="83"/>
      <c r="X153" s="83"/>
      <c r="Y153" s="83"/>
      <c r="Z153" s="83"/>
      <c r="AA153" s="83"/>
      <c r="AB153" s="153"/>
      <c r="AC153" s="82" t="str">
        <f>IF([8]回答表!F17="下水道事業",IF([8]回答表!X45="●",[8]回答表!Y199,IF([8]回答表!AA45="●",[8]回答表!Y265,"")),"")</f>
        <v/>
      </c>
      <c r="AD153" s="83"/>
      <c r="AE153" s="83"/>
      <c r="AF153" s="83"/>
      <c r="AG153" s="83"/>
      <c r="AH153" s="83"/>
      <c r="AI153" s="83"/>
      <c r="AJ153" s="153"/>
      <c r="AK153" s="82" t="str">
        <f>IF([8]回答表!F17="下水道事業",IF([8]回答表!X45="●",[8]回答表!Y200,IF([8]回答表!AA45="●",[8]回答表!Y266,"")),"")</f>
        <v/>
      </c>
      <c r="AL153" s="83"/>
      <c r="AM153" s="83"/>
      <c r="AN153" s="83"/>
      <c r="AO153" s="83"/>
      <c r="AP153" s="83"/>
      <c r="AQ153" s="83"/>
      <c r="AR153" s="153"/>
      <c r="AS153" s="82" t="str">
        <f>IF([8]回答表!F17="下水道事業",IF([8]回答表!X45="●",[8]回答表!Y201,IF([8]回答表!AA45="●",[8]回答表!Y267,"")),"")</f>
        <v/>
      </c>
      <c r="AT153" s="83"/>
      <c r="AU153" s="83"/>
      <c r="AV153" s="83"/>
      <c r="AW153" s="83"/>
      <c r="AX153" s="83"/>
      <c r="AY153" s="83"/>
      <c r="AZ153" s="153"/>
      <c r="BA153" s="82" t="str">
        <f>IF([8]回答表!F17="下水道事業",IF([8]回答表!X45="●",[8]回答表!Y202,IF([8]回答表!AA45="●",[8]回答表!Y268,"")),"")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IF([8]回答表!F17="下水道事業",IF([8]回答表!AA45="●","●",""),"")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IF([8]回答表!F17="下水道事業",IF([8]回答表!X45="●",[8]回答表!Y207,IF([8]回答表!AA45="●",[8]回答表!Y273,"")),"")</f>
        <v/>
      </c>
      <c r="V159" s="83"/>
      <c r="W159" s="83"/>
      <c r="X159" s="83"/>
      <c r="Y159" s="83"/>
      <c r="Z159" s="83"/>
      <c r="AA159" s="83"/>
      <c r="AB159" s="153"/>
      <c r="AC159" s="82" t="str">
        <f>IF([8]回答表!F17="下水道事業",IF([8]回答表!X45="●",[8]回答表!Y208,IF([8]回答表!AA45="●",[8]回答表!Y274,"")),"")</f>
        <v/>
      </c>
      <c r="AD159" s="83"/>
      <c r="AE159" s="83"/>
      <c r="AF159" s="83"/>
      <c r="AG159" s="83"/>
      <c r="AH159" s="83"/>
      <c r="AI159" s="83"/>
      <c r="AJ159" s="153"/>
      <c r="AK159" s="82" t="str">
        <f>IF([8]回答表!F17="下水道事業",IF([8]回答表!X45="●",[8]回答表!Y209,IF([8]回答表!AA45="●",[8]回答表!Y275,"")),"")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IF([8]回答表!F17="下水道事業",IF([8]回答表!AD45="●","●",""),"")</f>
        <v/>
      </c>
      <c r="O164" s="131"/>
      <c r="P164" s="131"/>
      <c r="Q164" s="132"/>
      <c r="R164" s="119"/>
      <c r="S164" s="119"/>
      <c r="T164" s="119"/>
      <c r="U164" s="133" t="str">
        <f>IF([8]回答表!F17="下水道事業",IF([8]回答表!AD45="●",[8]回答表!B289,""),"")</f>
        <v/>
      </c>
      <c r="V164" s="134"/>
      <c r="W164" s="134"/>
      <c r="X164" s="134"/>
      <c r="Y164" s="134"/>
      <c r="Z164" s="134"/>
      <c r="AA164" s="134"/>
      <c r="AB164" s="134"/>
      <c r="AC164" s="134"/>
      <c r="AD164" s="134"/>
      <c r="AE164" s="134"/>
      <c r="AF164" s="134"/>
      <c r="AG164" s="134"/>
      <c r="AH164" s="134"/>
      <c r="AI164" s="134"/>
      <c r="AJ164" s="135"/>
      <c r="AK164" s="183"/>
      <c r="AL164" s="183"/>
      <c r="AM164" s="133" t="str">
        <f>IF([8]回答表!F17="下水道事業",IF([8]回答表!AD45="●",[8]回答表!B295,""),"")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IF([8]回答表!BD17="●",IF([8]回答表!X45="●","●",""),"")</f>
        <v/>
      </c>
      <c r="O176" s="131"/>
      <c r="P176" s="131"/>
      <c r="Q176" s="132"/>
      <c r="R176" s="119"/>
      <c r="S176" s="119"/>
      <c r="T176" s="119"/>
      <c r="U176" s="133" t="str">
        <f>IF([8]回答表!BD17="●",IF([8]回答表!X45="●",[8]回答表!B158,IF([8]回答表!AA45="●",[8]回答表!B223,"")),"")</f>
        <v/>
      </c>
      <c r="V176" s="134"/>
      <c r="W176" s="134"/>
      <c r="X176" s="134"/>
      <c r="Y176" s="134"/>
      <c r="Z176" s="134"/>
      <c r="AA176" s="134"/>
      <c r="AB176" s="134"/>
      <c r="AC176" s="134"/>
      <c r="AD176" s="134"/>
      <c r="AE176" s="134"/>
      <c r="AF176" s="134"/>
      <c r="AG176" s="134"/>
      <c r="AH176" s="134"/>
      <c r="AI176" s="134"/>
      <c r="AJ176" s="135"/>
      <c r="AK176" s="136"/>
      <c r="AL176" s="136"/>
      <c r="AM176" s="138" t="str">
        <f>IF([8]回答表!BD17="●",IF([8]回答表!X45="●",[8]回答表!B212,IF([8]回答表!AA45="●",[8]回答表!B278,"")),"")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IF([8]回答表!BD17="●",IF([8]回答表!X45="●",[8]回答表!E212,IF([8]回答表!AA45="●",[8]回答表!E278,"")),"")</f>
        <v/>
      </c>
      <c r="AN179" s="151"/>
      <c r="AO179" s="151"/>
      <c r="AP179" s="151"/>
      <c r="AQ179" s="150" t="str">
        <f>IF([8]回答表!BD17="●",IF([8]回答表!X45="●",[8]回答表!E213,IF([8]回答表!AA45="●",[8]回答表!E279,"")),"")</f>
        <v/>
      </c>
      <c r="AR179" s="151"/>
      <c r="AS179" s="151"/>
      <c r="AT179" s="151"/>
      <c r="AU179" s="150" t="str">
        <f>IF([8]回答表!BD17="●",IF([8]回答表!X45="●",[8]回答表!E214,IF([8]回答表!AA45="●",[8]回答表!E280,"")),"")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IF([8]回答表!BD17="●",IF([8]回答表!AA45="●","●",""),"")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IF([8]回答表!BD17="●",IF([8]回答表!AD45="●","●",""),"")</f>
        <v/>
      </c>
      <c r="O188" s="131"/>
      <c r="P188" s="131"/>
      <c r="Q188" s="132"/>
      <c r="R188" s="119"/>
      <c r="S188" s="119"/>
      <c r="T188" s="119"/>
      <c r="U188" s="133" t="str">
        <f>IF([8]回答表!BD17="●",IF([8]回答表!AD45="●",[8]回答表!B289,""),"")</f>
        <v/>
      </c>
      <c r="V188" s="134"/>
      <c r="W188" s="134"/>
      <c r="X188" s="134"/>
      <c r="Y188" s="134"/>
      <c r="Z188" s="134"/>
      <c r="AA188" s="134"/>
      <c r="AB188" s="134"/>
      <c r="AC188" s="134"/>
      <c r="AD188" s="134"/>
      <c r="AE188" s="134"/>
      <c r="AF188" s="134"/>
      <c r="AG188" s="134"/>
      <c r="AH188" s="134"/>
      <c r="AI188" s="134"/>
      <c r="AJ188" s="135"/>
      <c r="AK188" s="183"/>
      <c r="AL188" s="183"/>
      <c r="AM188" s="133" t="str">
        <f>IF([8]回答表!BD17="●",IF([8]回答表!AD45="●",[8]回答表!B295,""),"")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IF([8]回答表!X46="●","●","")</f>
        <v/>
      </c>
      <c r="O200" s="131"/>
      <c r="P200" s="131"/>
      <c r="Q200" s="132"/>
      <c r="R200" s="119"/>
      <c r="S200" s="119"/>
      <c r="T200" s="119"/>
      <c r="U200" s="133" t="str">
        <f>IF([8]回答表!X46="●",[8]回答表!B307,IF([8]回答表!AA46="●",[8]回答表!B324,""))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IF([8]回答表!X46="●",[8]回答表!U313,IF([8]回答表!AA46="●",[8]回答表!U330,""))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IF([8]回答表!X46="●",[8]回答表!G313,IF([8]回答表!AA46="●",[8]回答表!G330,""))</f>
        <v/>
      </c>
      <c r="AN203" s="83"/>
      <c r="AO203" s="83"/>
      <c r="AP203" s="83"/>
      <c r="AQ203" s="83"/>
      <c r="AR203" s="83"/>
      <c r="AS203" s="83"/>
      <c r="AT203" s="153"/>
      <c r="AU203" s="82" t="str">
        <f>IF([8]回答表!X46="●",[8]回答表!G314,IF([8]回答表!AA46="●",[8]回答表!G331,""))</f>
        <v/>
      </c>
      <c r="AV203" s="83"/>
      <c r="AW203" s="83"/>
      <c r="AX203" s="83"/>
      <c r="AY203" s="83"/>
      <c r="AZ203" s="83"/>
      <c r="BA203" s="83"/>
      <c r="BB203" s="153"/>
      <c r="BC203" s="120"/>
      <c r="BD203" s="109"/>
      <c r="BE203" s="109"/>
      <c r="BF203" s="150" t="str">
        <f>IF([8]回答表!X46="●",[8]回答表!X313,IF([8]回答表!AA46="●",[8]回答表!X330,""))</f>
        <v/>
      </c>
      <c r="BG203" s="151"/>
      <c r="BH203" s="151"/>
      <c r="BI203" s="151"/>
      <c r="BJ203" s="150" t="str">
        <f>IF([8]回答表!X46="●",[8]回答表!X314,IF([8]回答表!AA46="●",[8]回答表!X331,""))</f>
        <v/>
      </c>
      <c r="BK203" s="151"/>
      <c r="BL203" s="151"/>
      <c r="BM203" s="152"/>
      <c r="BN203" s="150" t="str">
        <f>IF([8]回答表!X46="●",[8]回答表!X315,IF([8]回答表!AA46="●",[8]回答表!X332,""))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IF([8]回答表!AA46="●","●","")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IF([8]回答表!AD46="●","●","")</f>
        <v/>
      </c>
      <c r="O212" s="131"/>
      <c r="P212" s="131"/>
      <c r="Q212" s="132"/>
      <c r="R212" s="119"/>
      <c r="S212" s="119"/>
      <c r="T212" s="119"/>
      <c r="U212" s="133" t="str">
        <f>IF([8]回答表!AD46="●",[8]回答表!B337,"")</f>
        <v/>
      </c>
      <c r="V212" s="134"/>
      <c r="W212" s="134"/>
      <c r="X212" s="134"/>
      <c r="Y212" s="134"/>
      <c r="Z212" s="134"/>
      <c r="AA212" s="134"/>
      <c r="AB212" s="134"/>
      <c r="AC212" s="134"/>
      <c r="AD212" s="134"/>
      <c r="AE212" s="134"/>
      <c r="AF212" s="134"/>
      <c r="AG212" s="134"/>
      <c r="AH212" s="134"/>
      <c r="AI212" s="134"/>
      <c r="AJ212" s="135"/>
      <c r="AK212" s="259"/>
      <c r="AL212" s="259"/>
      <c r="AM212" s="133" t="str">
        <f>IF([8]回答表!AD46="●",[8]回答表!B343,"")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IF([8]回答表!X47="●","●","")</f>
        <v/>
      </c>
      <c r="O224" s="131"/>
      <c r="P224" s="131"/>
      <c r="Q224" s="132"/>
      <c r="R224" s="119"/>
      <c r="S224" s="119"/>
      <c r="T224" s="119"/>
      <c r="U224" s="133" t="str">
        <f>IF([8]回答表!X47="●",[8]回答表!B356,IF([8]回答表!AA47="●",[8]回答表!B379,""))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IF([8]回答表!X47="●",[8]回答表!B362,"")</f>
        <v/>
      </c>
      <c r="AO224" s="263"/>
      <c r="AP224" s="263"/>
      <c r="AQ224" s="263"/>
      <c r="AR224" s="263"/>
      <c r="AS224" s="263"/>
      <c r="AT224" s="263"/>
      <c r="AU224" s="263"/>
      <c r="AV224" s="263"/>
      <c r="AW224" s="263"/>
      <c r="AX224" s="263"/>
      <c r="AY224" s="263"/>
      <c r="AZ224" s="263"/>
      <c r="BA224" s="263"/>
      <c r="BB224" s="264"/>
      <c r="BC224" s="120"/>
      <c r="BD224" s="109"/>
      <c r="BE224" s="109"/>
      <c r="BF224" s="138" t="str">
        <f>IF([8]回答表!X47="●",[8]回答表!B368,IF([8]回答表!AA47="●",[8]回答表!B385,""))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IF([8]回答表!X47="●",[8]回答表!E368,IF([8]回答表!AA47="●",[8]回答表!E385,""))</f>
        <v/>
      </c>
      <c r="BG227" s="151"/>
      <c r="BH227" s="151"/>
      <c r="BI227" s="151"/>
      <c r="BJ227" s="150" t="str">
        <f>IF([8]回答表!X47="●",[8]回答表!E369,IF([8]回答表!AA47="●",[8]回答表!E386,""))</f>
        <v/>
      </c>
      <c r="BK227" s="151"/>
      <c r="BL227" s="151"/>
      <c r="BM227" s="152"/>
      <c r="BN227" s="150" t="str">
        <f>IF([8]回答表!X47="●",[8]回答表!E370,IF([8]回答表!AA47="●",[8]回答表!E387,""))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IF([8]回答表!AA47="●","●","")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IF([8]回答表!AD47="●","●","")</f>
        <v/>
      </c>
      <c r="O236" s="131"/>
      <c r="P236" s="131"/>
      <c r="Q236" s="132"/>
      <c r="R236" s="119"/>
      <c r="S236" s="119"/>
      <c r="T236" s="119"/>
      <c r="U236" s="133" t="str">
        <f>IF([8]回答表!AD47="●",[8]回答表!B392,"")</f>
        <v/>
      </c>
      <c r="V236" s="134"/>
      <c r="W236" s="134"/>
      <c r="X236" s="134"/>
      <c r="Y236" s="134"/>
      <c r="Z236" s="134"/>
      <c r="AA236" s="134"/>
      <c r="AB236" s="134"/>
      <c r="AC236" s="134"/>
      <c r="AD236" s="134"/>
      <c r="AE236" s="134"/>
      <c r="AF236" s="134"/>
      <c r="AG236" s="134"/>
      <c r="AH236" s="134"/>
      <c r="AI236" s="134"/>
      <c r="AJ236" s="135"/>
      <c r="AK236" s="259"/>
      <c r="AL236" s="259"/>
      <c r="AM236" s="133" t="str">
        <f>IF([8]回答表!AD47="●",[8]回答表!B398,"")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IF([8]回答表!X48="●","●","")</f>
        <v/>
      </c>
      <c r="O248" s="131"/>
      <c r="P248" s="131"/>
      <c r="Q248" s="132"/>
      <c r="R248" s="119"/>
      <c r="S248" s="119"/>
      <c r="T248" s="119"/>
      <c r="U248" s="133" t="str">
        <f>IF([8]回答表!X48="●",[8]回答表!B411,IF([8]回答表!AA48="●",[8]回答表!B425,""))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IF([8]回答表!X48="●",[8]回答表!BC418,IF([8]回答表!AA48="●",[8]回答表!BC432,""))</f>
        <v/>
      </c>
      <c r="AR248" s="272"/>
      <c r="AS248" s="272"/>
      <c r="AT248" s="272"/>
      <c r="AU248" s="273" t="s">
        <v>73</v>
      </c>
      <c r="AV248" s="274"/>
      <c r="AW248" s="274"/>
      <c r="AX248" s="275"/>
      <c r="AY248" s="272" t="str">
        <f>IF([8]回答表!X48="●",[8]回答表!BC423,IF([8]回答表!AA48="●",[8]回答表!BC437,""))</f>
        <v/>
      </c>
      <c r="AZ248" s="272"/>
      <c r="BA248" s="272"/>
      <c r="BB248" s="272"/>
      <c r="BC248" s="120"/>
      <c r="BD248" s="109"/>
      <c r="BE248" s="109"/>
      <c r="BF248" s="138" t="str">
        <f>IF([8]回答表!X48="●",[8]回答表!S417,IF([8]回答表!AA48="●",[8]回答表!S431,""))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IF([8]回答表!X48="●",[8]回答表!BC419,IF([8]回答表!AA48="●",[8]回答表!BC433,""))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IF([8]回答表!X48="●",[8]回答表!V417,IF([8]回答表!AA48="●",[8]回答表!V431,""))</f>
        <v/>
      </c>
      <c r="BG251" s="151"/>
      <c r="BH251" s="151"/>
      <c r="BI251" s="151"/>
      <c r="BJ251" s="150" t="str">
        <f>IF([8]回答表!X48="●",[8]回答表!V418,IF([8]回答表!AA48="●",[8]回答表!V432,""))</f>
        <v/>
      </c>
      <c r="BK251" s="151"/>
      <c r="BL251" s="151"/>
      <c r="BM251" s="152"/>
      <c r="BN251" s="150" t="str">
        <f>IF([8]回答表!X48="●",[8]回答表!V419,IF([8]回答表!AA48="●",[8]回答表!V433,""))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IF([8]回答表!X48="●",[8]回答表!BC420,IF([8]回答表!AA48="●",[8]回答表!BC434,""))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IF([8]回答表!X48="●",[8]回答表!BC424,IF([8]回答表!AA48="●",[8]回答表!BC438,""))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IF([8]回答表!AA48="●","●","")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IF([8]回答表!X48="●",[8]回答表!BC421,IF([8]回答表!AA48="●",[8]回答表!BC435,""))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IF([8]回答表!X48="●",[8]回答表!BC422,IF([8]回答表!AA48="●",[8]回答表!BC436,""))</f>
        <v/>
      </c>
      <c r="AR256" s="272"/>
      <c r="AS256" s="272"/>
      <c r="AT256" s="272"/>
      <c r="AU256" s="224" t="s">
        <v>79</v>
      </c>
      <c r="AV256" s="225"/>
      <c r="AW256" s="225"/>
      <c r="AX256" s="226"/>
      <c r="AY256" s="282" t="str">
        <f>IF([8]回答表!X48="●",[8]回答表!BC425,IF([8]回答表!AA48="●",[8]回答表!BC439,""))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IF([8]回答表!AD48="●","●","")</f>
        <v/>
      </c>
      <c r="O260" s="131"/>
      <c r="P260" s="131"/>
      <c r="Q260" s="132"/>
      <c r="R260" s="119"/>
      <c r="S260" s="119"/>
      <c r="T260" s="119"/>
      <c r="U260" s="133" t="str">
        <f>IF([8]回答表!AD48="●",[8]回答表!B439,"")</f>
        <v/>
      </c>
      <c r="V260" s="134"/>
      <c r="W260" s="134"/>
      <c r="X260" s="134"/>
      <c r="Y260" s="134"/>
      <c r="Z260" s="134"/>
      <c r="AA260" s="134"/>
      <c r="AB260" s="134"/>
      <c r="AC260" s="134"/>
      <c r="AD260" s="134"/>
      <c r="AE260" s="134"/>
      <c r="AF260" s="134"/>
      <c r="AG260" s="134"/>
      <c r="AH260" s="134"/>
      <c r="AI260" s="134"/>
      <c r="AJ260" s="135"/>
      <c r="AK260" s="183"/>
      <c r="AL260" s="183"/>
      <c r="AM260" s="133" t="str">
        <f>IF([8]回答表!AD48="●",[8]回答表!B445,"")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IF([8]回答表!X49="●","●","")</f>
        <v/>
      </c>
      <c r="O271" s="131"/>
      <c r="P271" s="131"/>
      <c r="Q271" s="132"/>
      <c r="R271" s="119"/>
      <c r="S271" s="119"/>
      <c r="T271" s="119"/>
      <c r="U271" s="133" t="str">
        <f>IF([8]回答表!X49="●",[8]回答表!B458,IF([8]回答表!AA49="●",[8]回答表!B475,""))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IF([8]回答表!X49="●",[8]回答表!B468,IF([8]回答表!AA49="●",[8]回答表!B485,""))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IF([8]回答表!X49="●",[8]回答表!G464,IF([8]回答表!AA49="●",[8]回答表!G481,""))</f>
        <v/>
      </c>
      <c r="AN273" s="83"/>
      <c r="AO273" s="83"/>
      <c r="AP273" s="83"/>
      <c r="AQ273" s="83"/>
      <c r="AR273" s="83"/>
      <c r="AS273" s="83"/>
      <c r="AT273" s="153"/>
      <c r="AU273" s="82" t="str">
        <f>IF([8]回答表!X49="●",[8]回答表!G465,IF([8]回答表!AA49="●",[8]回答表!G482,""))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IF([8]回答表!X49="●",[8]回答表!E468,IF([8]回答表!AA49="●",[8]回答表!E485,""))</f>
        <v/>
      </c>
      <c r="BG274" s="151"/>
      <c r="BH274" s="151"/>
      <c r="BI274" s="151"/>
      <c r="BJ274" s="150" t="str">
        <f>IF([8]回答表!X49="●",[8]回答表!E469,IF([8]回答表!AA49="●",[8]回答表!E486,""))</f>
        <v/>
      </c>
      <c r="BK274" s="151"/>
      <c r="BL274" s="151"/>
      <c r="BM274" s="152"/>
      <c r="BN274" s="150" t="str">
        <f>IF([8]回答表!X49="●",[8]回答表!E470,IF([8]回答表!AA49="●",[8]回答表!E487,""))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IF([8]回答表!AA49="●","●","")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IF([8]回答表!AD49="●","●","")</f>
        <v/>
      </c>
      <c r="O283" s="131"/>
      <c r="P283" s="131"/>
      <c r="Q283" s="132"/>
      <c r="R283" s="119"/>
      <c r="S283" s="119"/>
      <c r="T283" s="119"/>
      <c r="U283" s="133" t="str">
        <f>IF([8]回答表!AD49="●",[8]回答表!B492,"")</f>
        <v/>
      </c>
      <c r="V283" s="134"/>
      <c r="W283" s="134"/>
      <c r="X283" s="134"/>
      <c r="Y283" s="134"/>
      <c r="Z283" s="134"/>
      <c r="AA283" s="134"/>
      <c r="AB283" s="134"/>
      <c r="AC283" s="134"/>
      <c r="AD283" s="134"/>
      <c r="AE283" s="134"/>
      <c r="AF283" s="134"/>
      <c r="AG283" s="134"/>
      <c r="AH283" s="134"/>
      <c r="AI283" s="134"/>
      <c r="AJ283" s="135"/>
      <c r="AK283" s="136"/>
      <c r="AL283" s="136"/>
      <c r="AM283" s="133" t="str">
        <f>IF([8]回答表!AD49="●",[8]回答表!B498,"")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IF([8]回答表!R50="●",[8]回答表!B511,"")</f>
        <v>　令和2年4月1日より公営企業化し、昨年度、公共下水道事業や農業集落排水事業など8事業分をまとめた経営戦略を策定している。使用料収入は、年々減収し累積赤字が膨らむため使用料改定の検討を早期に行うこととしている。また、投資については生活排水整備構想のなかで施設の統廃合等を検討したものの有利な検討結果が得られないため、現段階では現行の経営体制・手法の継続とした。</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7" priority="2">
      <formula>$BB$25="○"</formula>
    </cfRule>
  </conditionalFormatting>
  <conditionalFormatting sqref="BD28:BD30">
    <cfRule type="expression" dxfId="1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BEA86-347B-450F-9C17-B585E4701CFF}">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IF(COUNTIF([9]回答表!K15,"*")&gt;0,[9]回答表!K15,"")</f>
        <v>由利本荘市</v>
      </c>
      <c r="D11" s="8"/>
      <c r="E11" s="8"/>
      <c r="F11" s="8"/>
      <c r="G11" s="8"/>
      <c r="H11" s="8"/>
      <c r="I11" s="8"/>
      <c r="J11" s="8"/>
      <c r="K11" s="8"/>
      <c r="L11" s="8"/>
      <c r="M11" s="8"/>
      <c r="N11" s="8"/>
      <c r="O11" s="8"/>
      <c r="P11" s="8"/>
      <c r="Q11" s="8"/>
      <c r="R11" s="8"/>
      <c r="S11" s="8"/>
      <c r="T11" s="8"/>
      <c r="U11" s="22" t="str">
        <f>IF(COUNTIF([9]回答表!F17,"*")&gt;0,[9]回答表!F17,"")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IF(COUNTIF([9]回答表!W17,"*")&gt;0,[9]回答表!W17,"")</f>
        <v>特定地域排水処理施設</v>
      </c>
      <c r="AP11" s="10"/>
      <c r="AQ11" s="10"/>
      <c r="AR11" s="10"/>
      <c r="AS11" s="10"/>
      <c r="AT11" s="10"/>
      <c r="AU11" s="10"/>
      <c r="AV11" s="10"/>
      <c r="AW11" s="10"/>
      <c r="AX11" s="10"/>
      <c r="AY11" s="10"/>
      <c r="AZ11" s="10"/>
      <c r="BA11" s="10"/>
      <c r="BB11" s="10"/>
      <c r="BC11" s="10"/>
      <c r="BD11" s="10"/>
      <c r="BE11" s="10"/>
      <c r="BF11" s="11"/>
      <c r="BG11" s="21" t="str">
        <f>IF(COUNTIF([9]回答表!F19,"*")&gt;0,[9]回答表!F19,"")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IF([9]回答表!R43="●","●","")</f>
        <v/>
      </c>
      <c r="E24" s="80"/>
      <c r="F24" s="80"/>
      <c r="G24" s="80"/>
      <c r="H24" s="80"/>
      <c r="I24" s="80"/>
      <c r="J24" s="81"/>
      <c r="K24" s="79" t="str">
        <f>IF([9]回答表!R44="●","●","")</f>
        <v/>
      </c>
      <c r="L24" s="80"/>
      <c r="M24" s="80"/>
      <c r="N24" s="80"/>
      <c r="O24" s="80"/>
      <c r="P24" s="80"/>
      <c r="Q24" s="81"/>
      <c r="R24" s="79" t="str">
        <f>IF([9]回答表!R45="●","●","")</f>
        <v/>
      </c>
      <c r="S24" s="80"/>
      <c r="T24" s="80"/>
      <c r="U24" s="80"/>
      <c r="V24" s="80"/>
      <c r="W24" s="80"/>
      <c r="X24" s="81"/>
      <c r="Y24" s="79" t="str">
        <f>IF([9]回答表!R46="●","●","")</f>
        <v/>
      </c>
      <c r="Z24" s="80"/>
      <c r="AA24" s="80"/>
      <c r="AB24" s="80"/>
      <c r="AC24" s="80"/>
      <c r="AD24" s="80"/>
      <c r="AE24" s="81"/>
      <c r="AF24" s="79" t="str">
        <f>IF([9]回答表!R47="●","●","")</f>
        <v/>
      </c>
      <c r="AG24" s="80"/>
      <c r="AH24" s="80"/>
      <c r="AI24" s="80"/>
      <c r="AJ24" s="80"/>
      <c r="AK24" s="80"/>
      <c r="AL24" s="81"/>
      <c r="AM24" s="79" t="str">
        <f>IF([9]回答表!R48="●","●","")</f>
        <v/>
      </c>
      <c r="AN24" s="80"/>
      <c r="AO24" s="80"/>
      <c r="AP24" s="80"/>
      <c r="AQ24" s="80"/>
      <c r="AR24" s="80"/>
      <c r="AS24" s="81"/>
      <c r="AT24" s="79" t="str">
        <f>IF([9]回答表!R49="●","●","")</f>
        <v/>
      </c>
      <c r="AU24" s="80"/>
      <c r="AV24" s="80"/>
      <c r="AW24" s="80"/>
      <c r="AX24" s="80"/>
      <c r="AY24" s="80"/>
      <c r="AZ24" s="81"/>
      <c r="BA24" s="68"/>
      <c r="BB24" s="82" t="str">
        <f>IF([9]回答表!R50="●","●","")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IF([9]回答表!X43="●","●","")</f>
        <v/>
      </c>
      <c r="O36" s="131"/>
      <c r="P36" s="131"/>
      <c r="Q36" s="132"/>
      <c r="R36" s="119"/>
      <c r="S36" s="119"/>
      <c r="T36" s="119"/>
      <c r="U36" s="133" t="str">
        <f>IF([9]回答表!X43="●",[9]回答表!B59,IF([9]回答表!AA43="●",[9]回答表!B79,""))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IF([9]回答表!X43="●",[9]回答表!S65,IF([9]回答表!AA43="●",[9]回答表!S85,""))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IF([9]回答表!X43="●",[9]回答表!G65,IF([9]回答表!AA43="●",[9]回答表!G85,""))</f>
        <v/>
      </c>
      <c r="AN38" s="83"/>
      <c r="AO38" s="83"/>
      <c r="AP38" s="83"/>
      <c r="AQ38" s="83"/>
      <c r="AR38" s="83"/>
      <c r="AS38" s="83"/>
      <c r="AT38" s="153"/>
      <c r="AU38" s="82" t="str">
        <f>IF([9]回答表!X43="●",[9]回答表!G66,IF([9]回答表!AA43="●",[9]回答表!G86,""))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IF([9]回答表!X43="●",[9]回答表!V65,IF([9]回答表!AA43="●",[9]回答表!V85,""))</f>
        <v/>
      </c>
      <c r="BG39" s="16"/>
      <c r="BH39" s="16"/>
      <c r="BI39" s="17"/>
      <c r="BJ39" s="150" t="str">
        <f>IF([9]回答表!X43="●",[9]回答表!V66,IF([9]回答表!AA43="●",[9]回答表!V86,""))</f>
        <v/>
      </c>
      <c r="BK39" s="16"/>
      <c r="BL39" s="16"/>
      <c r="BM39" s="17"/>
      <c r="BN39" s="150" t="str">
        <f>IF([9]回答表!X43="●",[9]回答表!V67,IF([9]回答表!AA43="●",[9]回答表!V87,""))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IF([9]回答表!X43="●",[9]回答表!O71,IF([9]回答表!AA43="●",[9]回答表!O91,""))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IF([9]回答表!X43="●",[9]回答表!O72,IF([9]回答表!AA43="●",[9]回答表!O92,""))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IF([9]回答表!AA43="●","●","")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IF([9]回答表!X43="●",[9]回答表!O73,IF([9]回答表!AA43="●",[9]回答表!O93,""))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IF([9]回答表!X43="●",[9]回答表!O74,IF([9]回答表!AA43="●",[9]回答表!O94,""))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IF([9]回答表!X43="●",[9]回答表!AG71,IF([9]回答表!AA43="●",[9]回答表!AG91,""))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IF([9]回答表!X43="●",[9]回答表!AG72,IF([9]回答表!AA43="●",[9]回答表!AG92,""))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IF([9]回答表!AD43="●","●","")</f>
        <v/>
      </c>
      <c r="O51" s="131"/>
      <c r="P51" s="131"/>
      <c r="Q51" s="132"/>
      <c r="R51" s="119"/>
      <c r="S51" s="119"/>
      <c r="T51" s="119"/>
      <c r="U51" s="133" t="str">
        <f>IF([9]回答表!AD43="●",[9]回答表!B99,"")</f>
        <v/>
      </c>
      <c r="V51" s="134"/>
      <c r="W51" s="134"/>
      <c r="X51" s="134"/>
      <c r="Y51" s="134"/>
      <c r="Z51" s="134"/>
      <c r="AA51" s="134"/>
      <c r="AB51" s="134"/>
      <c r="AC51" s="134"/>
      <c r="AD51" s="134"/>
      <c r="AE51" s="134"/>
      <c r="AF51" s="134"/>
      <c r="AG51" s="134"/>
      <c r="AH51" s="134"/>
      <c r="AI51" s="134"/>
      <c r="AJ51" s="135"/>
      <c r="AK51" s="183"/>
      <c r="AL51" s="183"/>
      <c r="AM51" s="133" t="str">
        <f>IF([9]回答表!AD43="●",[9]回答表!B104,"")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IF([9]回答表!X44="●","●","")</f>
        <v/>
      </c>
      <c r="O62" s="131"/>
      <c r="P62" s="131"/>
      <c r="Q62" s="132"/>
      <c r="R62" s="119"/>
      <c r="S62" s="119"/>
      <c r="T62" s="119"/>
      <c r="U62" s="133" t="str">
        <f>IF([9]回答表!X44="●",[9]回答表!B115,IF([9]回答表!AA44="●",[9]回答表!B127,""))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IF([9]回答表!X44="●",[9]回答表!S121,IF([9]回答表!AA44="●",[9]回答表!S133,""))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IF([9]回答表!X44="●",[9]回答表!J121,IF([9]回答表!AA44="●",[9]回答表!J133,""))</f>
        <v/>
      </c>
      <c r="AN65" s="83"/>
      <c r="AO65" s="83"/>
      <c r="AP65" s="83"/>
      <c r="AQ65" s="83"/>
      <c r="AR65" s="83"/>
      <c r="AS65" s="83"/>
      <c r="AT65" s="153"/>
      <c r="AU65" s="82" t="str">
        <f>IF([9]回答表!X44="●",[9]回答表!J122,IF([9]回答表!AA44="●",[9]回答表!J134,""))</f>
        <v/>
      </c>
      <c r="AV65" s="83"/>
      <c r="AW65" s="83"/>
      <c r="AX65" s="83"/>
      <c r="AY65" s="83"/>
      <c r="AZ65" s="83"/>
      <c r="BA65" s="83"/>
      <c r="BB65" s="153"/>
      <c r="BC65" s="120"/>
      <c r="BD65" s="109"/>
      <c r="BE65" s="109"/>
      <c r="BF65" s="150" t="str">
        <f>IF([9]回答表!X44="●",[9]回答表!V121,IF([9]回答表!AA44="●",[9]回答表!V133,""))</f>
        <v/>
      </c>
      <c r="BG65" s="151"/>
      <c r="BH65" s="151"/>
      <c r="BI65" s="151"/>
      <c r="BJ65" s="150" t="str">
        <f>IF([9]回答表!X44="●",[9]回答表!V122,IF([9]回答表!AA44="●",[9]回答表!V134,""))</f>
        <v/>
      </c>
      <c r="BK65" s="151"/>
      <c r="BL65" s="151"/>
      <c r="BM65" s="151"/>
      <c r="BN65" s="150" t="str">
        <f>IF([9]回答表!X44="●",[9]回答表!V123,IF([9]回答表!AA44="●",[9]回答表!V135,""))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IF([9]回答表!AA44="●","●","")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IF([9]回答表!AD44="●","●","")</f>
        <v/>
      </c>
      <c r="O74" s="131"/>
      <c r="P74" s="131"/>
      <c r="Q74" s="132"/>
      <c r="R74" s="119"/>
      <c r="S74" s="119"/>
      <c r="T74" s="119"/>
      <c r="U74" s="133" t="str">
        <f>IF([9]回答表!AD44="●",[9]回答表!B140,"")</f>
        <v/>
      </c>
      <c r="V74" s="134"/>
      <c r="W74" s="134"/>
      <c r="X74" s="134"/>
      <c r="Y74" s="134"/>
      <c r="Z74" s="134"/>
      <c r="AA74" s="134"/>
      <c r="AB74" s="134"/>
      <c r="AC74" s="134"/>
      <c r="AD74" s="134"/>
      <c r="AE74" s="134"/>
      <c r="AF74" s="134"/>
      <c r="AG74" s="134"/>
      <c r="AH74" s="134"/>
      <c r="AI74" s="134"/>
      <c r="AJ74" s="135"/>
      <c r="AK74" s="183"/>
      <c r="AL74" s="183"/>
      <c r="AM74" s="133" t="str">
        <f>IF([9]回答表!AD44="●",[9]回答表!B146,"")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IF([9]回答表!F17="水道事業",IF([9]回答表!X45="●","●",""),"")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IF([9]回答表!F17="水道事業",IF([9]回答表!X45="●",[9]回答表!B158,IF([9]回答表!AA45="●",[9]回答表!B223,"")),"")</f>
        <v/>
      </c>
      <c r="AN86" s="201"/>
      <c r="AO86" s="201"/>
      <c r="AP86" s="201"/>
      <c r="AQ86" s="201"/>
      <c r="AR86" s="201"/>
      <c r="AS86" s="201"/>
      <c r="AT86" s="201"/>
      <c r="AU86" s="201"/>
      <c r="AV86" s="201"/>
      <c r="AW86" s="201"/>
      <c r="AX86" s="201"/>
      <c r="AY86" s="201"/>
      <c r="AZ86" s="201"/>
      <c r="BA86" s="201"/>
      <c r="BB86" s="201"/>
      <c r="BC86" s="202"/>
      <c r="BD86" s="109"/>
      <c r="BE86" s="109"/>
      <c r="BF86" s="138" t="str">
        <f>IF([9]回答表!F17="水道事業",IF([9]回答表!X45="●",[9]回答表!B212,IF([9]回答表!AA45="●",[9]回答表!B278,"")),"")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IF([9]回答表!F17="水道事業",IF([9]回答表!X45="●",[9]回答表!J166,IF([9]回答表!AA45="●",[9]回答表!J231,"")),"")</f>
        <v/>
      </c>
      <c r="V88" s="83"/>
      <c r="W88" s="83"/>
      <c r="X88" s="83"/>
      <c r="Y88" s="83"/>
      <c r="Z88" s="83"/>
      <c r="AA88" s="83"/>
      <c r="AB88" s="153"/>
      <c r="AC88" s="82" t="str">
        <f>IF([9]回答表!F17="水道事業",IF([9]回答表!X45="●",[9]回答表!J173,IF([9]回答表!AA45="●",[9]回答表!J238,"")),"")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IF([9]回答表!F17="水道事業",IF([9]回答表!X45="●",[9]回答表!E212,IF([9]回答表!AA45="●",[9]回答表!E278,"")),"")</f>
        <v/>
      </c>
      <c r="BG89" s="151"/>
      <c r="BH89" s="151"/>
      <c r="BI89" s="151"/>
      <c r="BJ89" s="150" t="str">
        <f>IF([9]回答表!F17="水道事業",IF([9]回答表!X45="●",[9]回答表!E213,IF([9]回答表!AA45="●",[9]回答表!E279,"")),"")</f>
        <v/>
      </c>
      <c r="BK89" s="151"/>
      <c r="BL89" s="151"/>
      <c r="BM89" s="151"/>
      <c r="BN89" s="150" t="str">
        <f>IF([9]回答表!F17="水道事業",IF([9]回答表!X45="●",[9]回答表!E214,IF([9]回答表!AA45="●",[9]回答表!E280,"")),"")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IF([9]回答表!F17="水道事業",IF([9]回答表!AA45="●","●",""),"")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IF([9]回答表!F17="水道事業",IF([9]回答表!X45="●",[9]回答表!J176,IF([9]回答表!AA45="●",[9]回答表!J241,"")),"")</f>
        <v/>
      </c>
      <c r="V93" s="83"/>
      <c r="W93" s="83"/>
      <c r="X93" s="83"/>
      <c r="Y93" s="83"/>
      <c r="Z93" s="83"/>
      <c r="AA93" s="83"/>
      <c r="AB93" s="153"/>
      <c r="AC93" s="82" t="str">
        <f>IF([9]回答表!F17="水道事業",IF([9]回答表!X45="●",[9]回答表!J180,IF([9]回答表!AA45="●",[9]回答表!J245,"")),"")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IF([9]回答表!F17="水道事業",IF([9]回答表!AD45="○","○",""),"")</f>
        <v/>
      </c>
      <c r="O98" s="131"/>
      <c r="P98" s="131"/>
      <c r="Q98" s="132"/>
      <c r="R98" s="119"/>
      <c r="S98" s="119"/>
      <c r="T98" s="119"/>
      <c r="U98" s="133" t="str">
        <f>IF([9]回答表!F17="水道事業",IF([9]回答表!AD45="●",[9]回答表!B289,""),"")</f>
        <v/>
      </c>
      <c r="V98" s="134"/>
      <c r="W98" s="134"/>
      <c r="X98" s="134"/>
      <c r="Y98" s="134"/>
      <c r="Z98" s="134"/>
      <c r="AA98" s="134"/>
      <c r="AB98" s="134"/>
      <c r="AC98" s="134"/>
      <c r="AD98" s="134"/>
      <c r="AE98" s="134"/>
      <c r="AF98" s="134"/>
      <c r="AG98" s="134"/>
      <c r="AH98" s="134"/>
      <c r="AI98" s="134"/>
      <c r="AJ98" s="135"/>
      <c r="AK98" s="183"/>
      <c r="AL98" s="183"/>
      <c r="AM98" s="133" t="str">
        <f>IF([9]回答表!F17="水道事業",IF([9]回答表!AD45="●",[9]回答表!B295,""),"")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IF([9]回答表!F17="簡易水道事業",IF([9]回答表!X45="●",[9]回答表!B158,IF([9]回答表!AA45="●",[9]回答表!B223,"")),"")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IF([9]回答表!F17="簡易水道事業",IF([9]回答表!X45="●",[9]回答表!B212,IF([9]回答表!AA45="●",[9]回答表!B278,"")),"")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IF([9]回答表!F17="簡易水道事業",IF([9]回答表!X45="●","●",""),"")</f>
        <v/>
      </c>
      <c r="O112" s="131"/>
      <c r="P112" s="131"/>
      <c r="Q112" s="132"/>
      <c r="R112" s="119"/>
      <c r="S112" s="119"/>
      <c r="T112" s="119"/>
      <c r="U112" s="82" t="str">
        <f>IF([9]回答表!F17="簡易水道事業",IF([9]回答表!X45="●",[9]回答表!Y185,IF([9]回答表!AA45="●",[9]回答表!Y251,"")),"")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IF([9]回答表!F17="簡易水道事業",IF([9]回答表!X45="●",[9]回答表!E212,IF([9]回答表!AA45="●",[9]回答表!E278,"")),"")</f>
        <v/>
      </c>
      <c r="BG113" s="151"/>
      <c r="BH113" s="151"/>
      <c r="BI113" s="151"/>
      <c r="BJ113" s="150" t="str">
        <f>IF([9]回答表!F17="簡易水道事業",IF([9]回答表!X45="●",[9]回答表!E213,IF([9]回答表!AA45="●",[9]回答表!E279,"")),"")</f>
        <v/>
      </c>
      <c r="BK113" s="151"/>
      <c r="BL113" s="151"/>
      <c r="BM113" s="151"/>
      <c r="BN113" s="150" t="str">
        <f>IF([9]回答表!F17="簡易水道事業",IF([9]回答表!X45="●",[9]回答表!E214,IF([9]回答表!AA45="●",[9]回答表!E280,"")),"")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IF([9]回答表!F17="簡易水道事業",IF([9]回答表!X45="●",[9]回答表!Y186,IF([9]回答表!AA45="●",[9]回答表!Y252,"")),"")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IF([9]回答表!F17="簡易水道事業",IF([9]回答表!AA45="●","●",""),"")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IF([9]回答表!F17="簡易水道事業",IF([9]回答表!X45="●",[9]回答表!Y187,IF([9]回答表!AA45="●",[9]回答表!Y253,"")),"")</f>
        <v/>
      </c>
      <c r="V122" s="83"/>
      <c r="W122" s="83"/>
      <c r="X122" s="83"/>
      <c r="Y122" s="83"/>
      <c r="Z122" s="83"/>
      <c r="AA122" s="83"/>
      <c r="AB122" s="83"/>
      <c r="AC122" s="83"/>
      <c r="AD122" s="83"/>
      <c r="AE122" s="83"/>
      <c r="AF122" s="83"/>
      <c r="AG122" s="83"/>
      <c r="AH122" s="83"/>
      <c r="AI122" s="83"/>
      <c r="AJ122" s="153"/>
      <c r="AK122" s="68"/>
      <c r="AL122" s="68"/>
      <c r="AM122" s="233" t="str">
        <f>IF([9]回答表!F17="簡易水道事業",IF([9]回答表!X45="●",[9]回答表!Y189,IF([9]回答表!AA45="●",[9]回答表!Y255,"")),"")</f>
        <v/>
      </c>
      <c r="AN122" s="233"/>
      <c r="AO122" s="233"/>
      <c r="AP122" s="233"/>
      <c r="AQ122" s="233"/>
      <c r="AR122" s="233"/>
      <c r="AS122" s="233" t="str">
        <f>IF([9]回答表!F17="簡易水道事業",IF([9]回答表!X45="●",[9]回答表!Y190,IF([9]回答表!AA45="●",[9]回答表!Y256,"")),"")</f>
        <v/>
      </c>
      <c r="AT122" s="233"/>
      <c r="AU122" s="233"/>
      <c r="AV122" s="233"/>
      <c r="AW122" s="233"/>
      <c r="AX122" s="233"/>
      <c r="AY122" s="233" t="str">
        <f>IF([9]回答表!F17="簡易水道事業",IF([9]回答表!X45="●",[9]回答表!Y191,IF([9]回答表!AA45="●",[9]回答表!Y257,"")),"")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IF([9]回答表!F17="簡易水道事業",IF([9]回答表!AD45="●","●",""),"")</f>
        <v/>
      </c>
      <c r="O127" s="131"/>
      <c r="P127" s="131"/>
      <c r="Q127" s="132"/>
      <c r="R127" s="119"/>
      <c r="S127" s="119"/>
      <c r="T127" s="119"/>
      <c r="U127" s="133" t="str">
        <f>IF([9]回答表!F17="簡易水道事業",IF([9]回答表!AD45="●",[9]回答表!B289,""),"")</f>
        <v/>
      </c>
      <c r="V127" s="134"/>
      <c r="W127" s="134"/>
      <c r="X127" s="134"/>
      <c r="Y127" s="134"/>
      <c r="Z127" s="134"/>
      <c r="AA127" s="134"/>
      <c r="AB127" s="134"/>
      <c r="AC127" s="134"/>
      <c r="AD127" s="134"/>
      <c r="AE127" s="134"/>
      <c r="AF127" s="134"/>
      <c r="AG127" s="134"/>
      <c r="AH127" s="134"/>
      <c r="AI127" s="134"/>
      <c r="AJ127" s="135"/>
      <c r="AK127" s="183"/>
      <c r="AL127" s="183"/>
      <c r="AM127" s="133" t="str">
        <f>IF([9]回答表!F17="簡易水道事業",IF([9]回答表!AD45="●",[9]回答表!B295,""),"")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IF([9]回答表!F17="下水道事業",IF([9]回答表!X45="●","●",""),"")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IF([9]回答表!F17="下水道事業",IF([9]回答表!X45="●",[9]回答表!B158,IF([9]回答表!AA45="●",[9]回答表!B223,"")),"")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IF([9]回答表!F17="下水道事業",IF([9]回答表!X45="●",[9]回答表!B212,IF([9]回答表!AA45="●",[9]回答表!B278,"")),"")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IF([9]回答表!F17="下水道事業",IF([9]回答表!X45="●",[9]回答表!Y193,IF([9]回答表!AA45="●",[9]回答表!Y259,"")),"")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IF([9]回答表!F17="下水道事業",IF([9]回答表!X45="●",[9]回答表!E212,IF([9]回答表!AA45="●",[9]回答表!E278,"")),"")</f>
        <v/>
      </c>
      <c r="BG142" s="151"/>
      <c r="BH142" s="151"/>
      <c r="BI142" s="151"/>
      <c r="BJ142" s="150" t="str">
        <f>IF([9]回答表!F17="下水道事業",IF([9]回答表!X45="●",[9]回答表!E213,IF([9]回答表!AA45="●",[9]回答表!E279,"")),"")</f>
        <v/>
      </c>
      <c r="BK142" s="151"/>
      <c r="BL142" s="151"/>
      <c r="BM142" s="151"/>
      <c r="BN142" s="150" t="str">
        <f>IF([9]回答表!F17="下水道事業",IF([9]回答表!X45="●",[9]回答表!E214,IF([9]回答表!AA45="●",[9]回答表!E280,"")),"")</f>
        <v/>
      </c>
      <c r="BO142" s="151"/>
      <c r="BP142" s="151"/>
      <c r="BQ142" s="152"/>
      <c r="BR142" s="112"/>
      <c r="BX142" s="200" t="str">
        <f>IF([9]回答表!AQ20="下水道事業",IF([9]回答表!BI48="○",[9]回答表!AM161,IF([9]回答表!BL48="○",[9]回答表!AM226,"")),"")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IF([9]回答表!F17="下水道事業",IF([9]回答表!X45="●",[9]回答表!Y195,IF([9]回答表!AA45="●",[9]回答表!Y261,"")),"")</f>
        <v/>
      </c>
      <c r="V147" s="83"/>
      <c r="W147" s="83"/>
      <c r="X147" s="83"/>
      <c r="Y147" s="83"/>
      <c r="Z147" s="83"/>
      <c r="AA147" s="83"/>
      <c r="AB147" s="153"/>
      <c r="AC147" s="82" t="str">
        <f>IF([9]回答表!F17="下水道事業",IF([9]回答表!X45="●",[9]回答表!Y196,IF([9]回答表!AA45="●",[9]回答表!Y262,"")),"")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IF([9]回答表!F17="下水道事業",IF([9]回答表!X45="●",[9]回答表!Y198,IF([9]回答表!AA45="●",[9]回答表!Y264,"")),"")</f>
        <v/>
      </c>
      <c r="V153" s="83"/>
      <c r="W153" s="83"/>
      <c r="X153" s="83"/>
      <c r="Y153" s="83"/>
      <c r="Z153" s="83"/>
      <c r="AA153" s="83"/>
      <c r="AB153" s="153"/>
      <c r="AC153" s="82" t="str">
        <f>IF([9]回答表!F17="下水道事業",IF([9]回答表!X45="●",[9]回答表!Y199,IF([9]回答表!AA45="●",[9]回答表!Y265,"")),"")</f>
        <v/>
      </c>
      <c r="AD153" s="83"/>
      <c r="AE153" s="83"/>
      <c r="AF153" s="83"/>
      <c r="AG153" s="83"/>
      <c r="AH153" s="83"/>
      <c r="AI153" s="83"/>
      <c r="AJ153" s="153"/>
      <c r="AK153" s="82" t="str">
        <f>IF([9]回答表!F17="下水道事業",IF([9]回答表!X45="●",[9]回答表!Y200,IF([9]回答表!AA45="●",[9]回答表!Y266,"")),"")</f>
        <v/>
      </c>
      <c r="AL153" s="83"/>
      <c r="AM153" s="83"/>
      <c r="AN153" s="83"/>
      <c r="AO153" s="83"/>
      <c r="AP153" s="83"/>
      <c r="AQ153" s="83"/>
      <c r="AR153" s="153"/>
      <c r="AS153" s="82" t="str">
        <f>IF([9]回答表!F17="下水道事業",IF([9]回答表!X45="●",[9]回答表!Y201,IF([9]回答表!AA45="●",[9]回答表!Y267,"")),"")</f>
        <v/>
      </c>
      <c r="AT153" s="83"/>
      <c r="AU153" s="83"/>
      <c r="AV153" s="83"/>
      <c r="AW153" s="83"/>
      <c r="AX153" s="83"/>
      <c r="AY153" s="83"/>
      <c r="AZ153" s="153"/>
      <c r="BA153" s="82" t="str">
        <f>IF([9]回答表!F17="下水道事業",IF([9]回答表!X45="●",[9]回答表!Y202,IF([9]回答表!AA45="●",[9]回答表!Y268,"")),"")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IF([9]回答表!F17="下水道事業",IF([9]回答表!AA45="●","●",""),"")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IF([9]回答表!F17="下水道事業",IF([9]回答表!X45="●",[9]回答表!Y207,IF([9]回答表!AA45="●",[9]回答表!Y273,"")),"")</f>
        <v/>
      </c>
      <c r="V159" s="83"/>
      <c r="W159" s="83"/>
      <c r="X159" s="83"/>
      <c r="Y159" s="83"/>
      <c r="Z159" s="83"/>
      <c r="AA159" s="83"/>
      <c r="AB159" s="153"/>
      <c r="AC159" s="82" t="str">
        <f>IF([9]回答表!F17="下水道事業",IF([9]回答表!X45="●",[9]回答表!Y208,IF([9]回答表!AA45="●",[9]回答表!Y274,"")),"")</f>
        <v/>
      </c>
      <c r="AD159" s="83"/>
      <c r="AE159" s="83"/>
      <c r="AF159" s="83"/>
      <c r="AG159" s="83"/>
      <c r="AH159" s="83"/>
      <c r="AI159" s="83"/>
      <c r="AJ159" s="153"/>
      <c r="AK159" s="82" t="str">
        <f>IF([9]回答表!F17="下水道事業",IF([9]回答表!X45="●",[9]回答表!Y209,IF([9]回答表!AA45="●",[9]回答表!Y275,"")),"")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IF([9]回答表!F17="下水道事業",IF([9]回答表!AD45="●","●",""),"")</f>
        <v/>
      </c>
      <c r="O164" s="131"/>
      <c r="P164" s="131"/>
      <c r="Q164" s="132"/>
      <c r="R164" s="119"/>
      <c r="S164" s="119"/>
      <c r="T164" s="119"/>
      <c r="U164" s="133" t="str">
        <f>IF([9]回答表!F17="下水道事業",IF([9]回答表!AD45="●",[9]回答表!B289,""),"")</f>
        <v/>
      </c>
      <c r="V164" s="134"/>
      <c r="W164" s="134"/>
      <c r="X164" s="134"/>
      <c r="Y164" s="134"/>
      <c r="Z164" s="134"/>
      <c r="AA164" s="134"/>
      <c r="AB164" s="134"/>
      <c r="AC164" s="134"/>
      <c r="AD164" s="134"/>
      <c r="AE164" s="134"/>
      <c r="AF164" s="134"/>
      <c r="AG164" s="134"/>
      <c r="AH164" s="134"/>
      <c r="AI164" s="134"/>
      <c r="AJ164" s="135"/>
      <c r="AK164" s="183"/>
      <c r="AL164" s="183"/>
      <c r="AM164" s="133" t="str">
        <f>IF([9]回答表!F17="下水道事業",IF([9]回答表!AD45="●",[9]回答表!B295,""),"")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IF([9]回答表!BD17="●",IF([9]回答表!X45="●","●",""),"")</f>
        <v/>
      </c>
      <c r="O176" s="131"/>
      <c r="P176" s="131"/>
      <c r="Q176" s="132"/>
      <c r="R176" s="119"/>
      <c r="S176" s="119"/>
      <c r="T176" s="119"/>
      <c r="U176" s="133" t="str">
        <f>IF([9]回答表!BD17="●",IF([9]回答表!X45="●",[9]回答表!B158,IF([9]回答表!AA45="●",[9]回答表!B223,"")),"")</f>
        <v/>
      </c>
      <c r="V176" s="134"/>
      <c r="W176" s="134"/>
      <c r="X176" s="134"/>
      <c r="Y176" s="134"/>
      <c r="Z176" s="134"/>
      <c r="AA176" s="134"/>
      <c r="AB176" s="134"/>
      <c r="AC176" s="134"/>
      <c r="AD176" s="134"/>
      <c r="AE176" s="134"/>
      <c r="AF176" s="134"/>
      <c r="AG176" s="134"/>
      <c r="AH176" s="134"/>
      <c r="AI176" s="134"/>
      <c r="AJ176" s="135"/>
      <c r="AK176" s="136"/>
      <c r="AL176" s="136"/>
      <c r="AM176" s="138" t="str">
        <f>IF([9]回答表!BD17="●",IF([9]回答表!X45="●",[9]回答表!B212,IF([9]回答表!AA45="●",[9]回答表!B278,"")),"")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IF([9]回答表!BD17="●",IF([9]回答表!X45="●",[9]回答表!E212,IF([9]回答表!AA45="●",[9]回答表!E278,"")),"")</f>
        <v/>
      </c>
      <c r="AN179" s="151"/>
      <c r="AO179" s="151"/>
      <c r="AP179" s="151"/>
      <c r="AQ179" s="150" t="str">
        <f>IF([9]回答表!BD17="●",IF([9]回答表!X45="●",[9]回答表!E213,IF([9]回答表!AA45="●",[9]回答表!E279,"")),"")</f>
        <v/>
      </c>
      <c r="AR179" s="151"/>
      <c r="AS179" s="151"/>
      <c r="AT179" s="151"/>
      <c r="AU179" s="150" t="str">
        <f>IF([9]回答表!BD17="●",IF([9]回答表!X45="●",[9]回答表!E214,IF([9]回答表!AA45="●",[9]回答表!E280,"")),"")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IF([9]回答表!BD17="●",IF([9]回答表!AA45="●","●",""),"")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IF([9]回答表!BD17="●",IF([9]回答表!AD45="●","●",""),"")</f>
        <v/>
      </c>
      <c r="O188" s="131"/>
      <c r="P188" s="131"/>
      <c r="Q188" s="132"/>
      <c r="R188" s="119"/>
      <c r="S188" s="119"/>
      <c r="T188" s="119"/>
      <c r="U188" s="133" t="str">
        <f>IF([9]回答表!BD17="●",IF([9]回答表!AD45="●",[9]回答表!B289,""),"")</f>
        <v/>
      </c>
      <c r="V188" s="134"/>
      <c r="W188" s="134"/>
      <c r="X188" s="134"/>
      <c r="Y188" s="134"/>
      <c r="Z188" s="134"/>
      <c r="AA188" s="134"/>
      <c r="AB188" s="134"/>
      <c r="AC188" s="134"/>
      <c r="AD188" s="134"/>
      <c r="AE188" s="134"/>
      <c r="AF188" s="134"/>
      <c r="AG188" s="134"/>
      <c r="AH188" s="134"/>
      <c r="AI188" s="134"/>
      <c r="AJ188" s="135"/>
      <c r="AK188" s="183"/>
      <c r="AL188" s="183"/>
      <c r="AM188" s="133" t="str">
        <f>IF([9]回答表!BD17="●",IF([9]回答表!AD45="●",[9]回答表!B295,""),"")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IF([9]回答表!X46="●","●","")</f>
        <v/>
      </c>
      <c r="O200" s="131"/>
      <c r="P200" s="131"/>
      <c r="Q200" s="132"/>
      <c r="R200" s="119"/>
      <c r="S200" s="119"/>
      <c r="T200" s="119"/>
      <c r="U200" s="133" t="str">
        <f>IF([9]回答表!X46="●",[9]回答表!B307,IF([9]回答表!AA46="●",[9]回答表!B324,""))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IF([9]回答表!X46="●",[9]回答表!U313,IF([9]回答表!AA46="●",[9]回答表!U330,""))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IF([9]回答表!X46="●",[9]回答表!G313,IF([9]回答表!AA46="●",[9]回答表!G330,""))</f>
        <v/>
      </c>
      <c r="AN203" s="83"/>
      <c r="AO203" s="83"/>
      <c r="AP203" s="83"/>
      <c r="AQ203" s="83"/>
      <c r="AR203" s="83"/>
      <c r="AS203" s="83"/>
      <c r="AT203" s="153"/>
      <c r="AU203" s="82" t="str">
        <f>IF([9]回答表!X46="●",[9]回答表!G314,IF([9]回答表!AA46="●",[9]回答表!G331,""))</f>
        <v/>
      </c>
      <c r="AV203" s="83"/>
      <c r="AW203" s="83"/>
      <c r="AX203" s="83"/>
      <c r="AY203" s="83"/>
      <c r="AZ203" s="83"/>
      <c r="BA203" s="83"/>
      <c r="BB203" s="153"/>
      <c r="BC203" s="120"/>
      <c r="BD203" s="109"/>
      <c r="BE203" s="109"/>
      <c r="BF203" s="150" t="str">
        <f>IF([9]回答表!X46="●",[9]回答表!X313,IF([9]回答表!AA46="●",[9]回答表!X330,""))</f>
        <v/>
      </c>
      <c r="BG203" s="151"/>
      <c r="BH203" s="151"/>
      <c r="BI203" s="151"/>
      <c r="BJ203" s="150" t="str">
        <f>IF([9]回答表!X46="●",[9]回答表!X314,IF([9]回答表!AA46="●",[9]回答表!X331,""))</f>
        <v/>
      </c>
      <c r="BK203" s="151"/>
      <c r="BL203" s="151"/>
      <c r="BM203" s="152"/>
      <c r="BN203" s="150" t="str">
        <f>IF([9]回答表!X46="●",[9]回答表!X315,IF([9]回答表!AA46="●",[9]回答表!X332,""))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IF([9]回答表!AA46="●","●","")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IF([9]回答表!AD46="●","●","")</f>
        <v/>
      </c>
      <c r="O212" s="131"/>
      <c r="P212" s="131"/>
      <c r="Q212" s="132"/>
      <c r="R212" s="119"/>
      <c r="S212" s="119"/>
      <c r="T212" s="119"/>
      <c r="U212" s="133" t="str">
        <f>IF([9]回答表!AD46="●",[9]回答表!B337,"")</f>
        <v/>
      </c>
      <c r="V212" s="134"/>
      <c r="W212" s="134"/>
      <c r="X212" s="134"/>
      <c r="Y212" s="134"/>
      <c r="Z212" s="134"/>
      <c r="AA212" s="134"/>
      <c r="AB212" s="134"/>
      <c r="AC212" s="134"/>
      <c r="AD212" s="134"/>
      <c r="AE212" s="134"/>
      <c r="AF212" s="134"/>
      <c r="AG212" s="134"/>
      <c r="AH212" s="134"/>
      <c r="AI212" s="134"/>
      <c r="AJ212" s="135"/>
      <c r="AK212" s="259"/>
      <c r="AL212" s="259"/>
      <c r="AM212" s="133" t="str">
        <f>IF([9]回答表!AD46="●",[9]回答表!B343,"")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IF([9]回答表!X47="●","●","")</f>
        <v/>
      </c>
      <c r="O224" s="131"/>
      <c r="P224" s="131"/>
      <c r="Q224" s="132"/>
      <c r="R224" s="119"/>
      <c r="S224" s="119"/>
      <c r="T224" s="119"/>
      <c r="U224" s="133" t="str">
        <f>IF([9]回答表!X47="●",[9]回答表!B356,IF([9]回答表!AA47="●",[9]回答表!B379,""))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IF([9]回答表!X47="●",[9]回答表!B362,"")</f>
        <v/>
      </c>
      <c r="AO224" s="263"/>
      <c r="AP224" s="263"/>
      <c r="AQ224" s="263"/>
      <c r="AR224" s="263"/>
      <c r="AS224" s="263"/>
      <c r="AT224" s="263"/>
      <c r="AU224" s="263"/>
      <c r="AV224" s="263"/>
      <c r="AW224" s="263"/>
      <c r="AX224" s="263"/>
      <c r="AY224" s="263"/>
      <c r="AZ224" s="263"/>
      <c r="BA224" s="263"/>
      <c r="BB224" s="264"/>
      <c r="BC224" s="120"/>
      <c r="BD224" s="109"/>
      <c r="BE224" s="109"/>
      <c r="BF224" s="138" t="str">
        <f>IF([9]回答表!X47="●",[9]回答表!B368,IF([9]回答表!AA47="●",[9]回答表!B385,""))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IF([9]回答表!X47="●",[9]回答表!E368,IF([9]回答表!AA47="●",[9]回答表!E385,""))</f>
        <v/>
      </c>
      <c r="BG227" s="151"/>
      <c r="BH227" s="151"/>
      <c r="BI227" s="151"/>
      <c r="BJ227" s="150" t="str">
        <f>IF([9]回答表!X47="●",[9]回答表!E369,IF([9]回答表!AA47="●",[9]回答表!E386,""))</f>
        <v/>
      </c>
      <c r="BK227" s="151"/>
      <c r="BL227" s="151"/>
      <c r="BM227" s="152"/>
      <c r="BN227" s="150" t="str">
        <f>IF([9]回答表!X47="●",[9]回答表!E370,IF([9]回答表!AA47="●",[9]回答表!E387,""))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IF([9]回答表!AA47="●","●","")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IF([9]回答表!AD47="●","●","")</f>
        <v/>
      </c>
      <c r="O236" s="131"/>
      <c r="P236" s="131"/>
      <c r="Q236" s="132"/>
      <c r="R236" s="119"/>
      <c r="S236" s="119"/>
      <c r="T236" s="119"/>
      <c r="U236" s="133" t="str">
        <f>IF([9]回答表!AD47="●",[9]回答表!B392,"")</f>
        <v/>
      </c>
      <c r="V236" s="134"/>
      <c r="W236" s="134"/>
      <c r="X236" s="134"/>
      <c r="Y236" s="134"/>
      <c r="Z236" s="134"/>
      <c r="AA236" s="134"/>
      <c r="AB236" s="134"/>
      <c r="AC236" s="134"/>
      <c r="AD236" s="134"/>
      <c r="AE236" s="134"/>
      <c r="AF236" s="134"/>
      <c r="AG236" s="134"/>
      <c r="AH236" s="134"/>
      <c r="AI236" s="134"/>
      <c r="AJ236" s="135"/>
      <c r="AK236" s="259"/>
      <c r="AL236" s="259"/>
      <c r="AM236" s="133" t="str">
        <f>IF([9]回答表!AD47="●",[9]回答表!B398,"")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IF([9]回答表!X48="●","●","")</f>
        <v/>
      </c>
      <c r="O248" s="131"/>
      <c r="P248" s="131"/>
      <c r="Q248" s="132"/>
      <c r="R248" s="119"/>
      <c r="S248" s="119"/>
      <c r="T248" s="119"/>
      <c r="U248" s="133" t="str">
        <f>IF([9]回答表!X48="●",[9]回答表!B411,IF([9]回答表!AA48="●",[9]回答表!B425,""))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IF([9]回答表!X48="●",[9]回答表!BC418,IF([9]回答表!AA48="●",[9]回答表!BC432,""))</f>
        <v/>
      </c>
      <c r="AR248" s="272"/>
      <c r="AS248" s="272"/>
      <c r="AT248" s="272"/>
      <c r="AU248" s="273" t="s">
        <v>73</v>
      </c>
      <c r="AV248" s="274"/>
      <c r="AW248" s="274"/>
      <c r="AX248" s="275"/>
      <c r="AY248" s="272" t="str">
        <f>IF([9]回答表!X48="●",[9]回答表!BC423,IF([9]回答表!AA48="●",[9]回答表!BC437,""))</f>
        <v/>
      </c>
      <c r="AZ248" s="272"/>
      <c r="BA248" s="272"/>
      <c r="BB248" s="272"/>
      <c r="BC248" s="120"/>
      <c r="BD248" s="109"/>
      <c r="BE248" s="109"/>
      <c r="BF248" s="138" t="str">
        <f>IF([9]回答表!X48="●",[9]回答表!S417,IF([9]回答表!AA48="●",[9]回答表!S431,""))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IF([9]回答表!X48="●",[9]回答表!BC419,IF([9]回答表!AA48="●",[9]回答表!BC433,""))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IF([9]回答表!X48="●",[9]回答表!V417,IF([9]回答表!AA48="●",[9]回答表!V431,""))</f>
        <v/>
      </c>
      <c r="BG251" s="151"/>
      <c r="BH251" s="151"/>
      <c r="BI251" s="151"/>
      <c r="BJ251" s="150" t="str">
        <f>IF([9]回答表!X48="●",[9]回答表!V418,IF([9]回答表!AA48="●",[9]回答表!V432,""))</f>
        <v/>
      </c>
      <c r="BK251" s="151"/>
      <c r="BL251" s="151"/>
      <c r="BM251" s="152"/>
      <c r="BN251" s="150" t="str">
        <f>IF([9]回答表!X48="●",[9]回答表!V419,IF([9]回答表!AA48="●",[9]回答表!V433,""))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IF([9]回答表!X48="●",[9]回答表!BC420,IF([9]回答表!AA48="●",[9]回答表!BC434,""))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IF([9]回答表!X48="●",[9]回答表!BC424,IF([9]回答表!AA48="●",[9]回答表!BC438,""))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IF([9]回答表!AA48="●","●","")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IF([9]回答表!X48="●",[9]回答表!BC421,IF([9]回答表!AA48="●",[9]回答表!BC435,""))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IF([9]回答表!X48="●",[9]回答表!BC422,IF([9]回答表!AA48="●",[9]回答表!BC436,""))</f>
        <v/>
      </c>
      <c r="AR256" s="272"/>
      <c r="AS256" s="272"/>
      <c r="AT256" s="272"/>
      <c r="AU256" s="224" t="s">
        <v>79</v>
      </c>
      <c r="AV256" s="225"/>
      <c r="AW256" s="225"/>
      <c r="AX256" s="226"/>
      <c r="AY256" s="282" t="str">
        <f>IF([9]回答表!X48="●",[9]回答表!BC425,IF([9]回答表!AA48="●",[9]回答表!BC439,""))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IF([9]回答表!AD48="●","●","")</f>
        <v/>
      </c>
      <c r="O260" s="131"/>
      <c r="P260" s="131"/>
      <c r="Q260" s="132"/>
      <c r="R260" s="119"/>
      <c r="S260" s="119"/>
      <c r="T260" s="119"/>
      <c r="U260" s="133" t="str">
        <f>IF([9]回答表!AD48="●",[9]回答表!B439,"")</f>
        <v/>
      </c>
      <c r="V260" s="134"/>
      <c r="W260" s="134"/>
      <c r="X260" s="134"/>
      <c r="Y260" s="134"/>
      <c r="Z260" s="134"/>
      <c r="AA260" s="134"/>
      <c r="AB260" s="134"/>
      <c r="AC260" s="134"/>
      <c r="AD260" s="134"/>
      <c r="AE260" s="134"/>
      <c r="AF260" s="134"/>
      <c r="AG260" s="134"/>
      <c r="AH260" s="134"/>
      <c r="AI260" s="134"/>
      <c r="AJ260" s="135"/>
      <c r="AK260" s="183"/>
      <c r="AL260" s="183"/>
      <c r="AM260" s="133" t="str">
        <f>IF([9]回答表!AD48="●",[9]回答表!B445,"")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IF([9]回答表!X49="●","●","")</f>
        <v/>
      </c>
      <c r="O271" s="131"/>
      <c r="P271" s="131"/>
      <c r="Q271" s="132"/>
      <c r="R271" s="119"/>
      <c r="S271" s="119"/>
      <c r="T271" s="119"/>
      <c r="U271" s="133" t="str">
        <f>IF([9]回答表!X49="●",[9]回答表!B458,IF([9]回答表!AA49="●",[9]回答表!B475,""))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IF([9]回答表!X49="●",[9]回答表!B468,IF([9]回答表!AA49="●",[9]回答表!B485,""))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IF([9]回答表!X49="●",[9]回答表!G464,IF([9]回答表!AA49="●",[9]回答表!G481,""))</f>
        <v/>
      </c>
      <c r="AN273" s="83"/>
      <c r="AO273" s="83"/>
      <c r="AP273" s="83"/>
      <c r="AQ273" s="83"/>
      <c r="AR273" s="83"/>
      <c r="AS273" s="83"/>
      <c r="AT273" s="153"/>
      <c r="AU273" s="82" t="str">
        <f>IF([9]回答表!X49="●",[9]回答表!G465,IF([9]回答表!AA49="●",[9]回答表!G482,""))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IF([9]回答表!X49="●",[9]回答表!E468,IF([9]回答表!AA49="●",[9]回答表!E485,""))</f>
        <v/>
      </c>
      <c r="BG274" s="151"/>
      <c r="BH274" s="151"/>
      <c r="BI274" s="151"/>
      <c r="BJ274" s="150" t="str">
        <f>IF([9]回答表!X49="●",[9]回答表!E469,IF([9]回答表!AA49="●",[9]回答表!E486,""))</f>
        <v/>
      </c>
      <c r="BK274" s="151"/>
      <c r="BL274" s="151"/>
      <c r="BM274" s="152"/>
      <c r="BN274" s="150" t="str">
        <f>IF([9]回答表!X49="●",[9]回答表!E470,IF([9]回答表!AA49="●",[9]回答表!E487,""))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IF([9]回答表!AA49="●","●","")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IF([9]回答表!AD49="●","●","")</f>
        <v/>
      </c>
      <c r="O283" s="131"/>
      <c r="P283" s="131"/>
      <c r="Q283" s="132"/>
      <c r="R283" s="119"/>
      <c r="S283" s="119"/>
      <c r="T283" s="119"/>
      <c r="U283" s="133" t="str">
        <f>IF([9]回答表!AD49="●",[9]回答表!B492,"")</f>
        <v/>
      </c>
      <c r="V283" s="134"/>
      <c r="W283" s="134"/>
      <c r="X283" s="134"/>
      <c r="Y283" s="134"/>
      <c r="Z283" s="134"/>
      <c r="AA283" s="134"/>
      <c r="AB283" s="134"/>
      <c r="AC283" s="134"/>
      <c r="AD283" s="134"/>
      <c r="AE283" s="134"/>
      <c r="AF283" s="134"/>
      <c r="AG283" s="134"/>
      <c r="AH283" s="134"/>
      <c r="AI283" s="134"/>
      <c r="AJ283" s="135"/>
      <c r="AK283" s="136"/>
      <c r="AL283" s="136"/>
      <c r="AM283" s="133" t="str">
        <f>IF([9]回答表!AD49="●",[9]回答表!B498,"")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IF([9]回答表!R50="●",[9]回答表!B511,"")</f>
        <v>　令和2年4月1日より公営企業化し、昨年度、公共下水道事業や農業集落排水事業など8事業分をまとめた経営戦略を策定している。使用料収入は、年々減収し累積赤字が膨らむため使用料改定の検討を早期に行うこととしている。また、投資については生活排水整備構想のなかで様々な検討したものの、現段階では現行の経営体制・手法が良いと判断した。</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5" priority="2">
      <formula>$BB$25="○"</formula>
    </cfRule>
  </conditionalFormatting>
  <conditionalFormatting sqref="BD28:BD30">
    <cfRule type="expression" dxfId="1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