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6261CD61-FB21-4F4E-B91C-1F24C9AB5B97}" xr6:coauthVersionLast="46" xr6:coauthVersionMax="46" xr10:uidLastSave="{00000000-0000-0000-0000-000000000000}"/>
  <bookViews>
    <workbookView xWindow="4155" yWindow="1635" windowWidth="14985" windowHeight="13875" xr2:uid="{9B77524E-3068-4CC6-B115-A5A0F300739F}"/>
  </bookViews>
  <sheets>
    <sheet name="水道" sheetId="1" r:id="rId1"/>
    <sheet name="簡易水道" sheetId="2" r:id="rId2"/>
    <sheet name="病院" sheetId="3" r:id="rId3"/>
    <sheet name="下水道（公共下水道）" sheetId="4" r:id="rId4"/>
    <sheet name="下水道（特定環境保全公共下水道）" sheetId="5" r:id="rId5"/>
    <sheet name="下水道（農業集落排水施設）" sheetId="6" r:id="rId6"/>
    <sheet name="下水道（特定地域排水処理施設）" sheetId="7" r:id="rId7"/>
    <sheet name="電気（太陽光）" sheetId="8" r:id="rId8"/>
    <sheet name="電気（小水力）" sheetId="9" r:id="rId9"/>
    <sheet name="観光" sheetId="10" r:id="rId10"/>
    <sheet name="宅地造成" sheetId="11" r:id="rId11"/>
    <sheet name="介護サービス（指定介護老人福祉施設）" sheetId="12" r:id="rId12"/>
    <sheet name="介護サービス（介護老人保健施設）" sheetId="13" r:id="rId13"/>
    <sheet name="介護サービス（老人短期入所施設）" sheetId="14" r:id="rId14"/>
    <sheet name="介護サービス（老人デイサービスセンター）" sheetId="15"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xlnm.Print_Area" localSheetId="3">'下水道（公共下水道）'!$A$1:$BS$315</definedName>
    <definedName name="_xlnm.Print_Area" localSheetId="4">'下水道（特定環境保全公共下水道）'!$A$1:$BS$315</definedName>
    <definedName name="_xlnm.Print_Area" localSheetId="6">'下水道（特定地域排水処理施設）'!$A$1:$BS$315</definedName>
    <definedName name="_xlnm.Print_Area" localSheetId="5">'下水道（農業集落排水施設）'!$A$1:$BS$315</definedName>
    <definedName name="_xlnm.Print_Area" localSheetId="12">'介護サービス（介護老人保健施設）'!$A$1:$BS$315</definedName>
    <definedName name="_xlnm.Print_Area" localSheetId="11">'介護サービス（指定介護老人福祉施設）'!$A$1:$BS$315</definedName>
    <definedName name="_xlnm.Print_Area" localSheetId="14">'介護サービス（老人デイサービスセンター）'!$A$1:$BS$315</definedName>
    <definedName name="_xlnm.Print_Area" localSheetId="13">'介護サービス（老人短期入所施設）'!$A$1:$BS$315</definedName>
    <definedName name="_xlnm.Print_Area" localSheetId="1">簡易水道!$A$1:$BS$315</definedName>
    <definedName name="_xlnm.Print_Area" localSheetId="9">観光!$A$1:$BS$315</definedName>
    <definedName name="_xlnm.Print_Area" localSheetId="0">水道!$A$1:$BS$315</definedName>
    <definedName name="_xlnm.Print_Area" localSheetId="10">宅地造成!$A$1:$BS$315</definedName>
    <definedName name="_xlnm.Print_Area" localSheetId="8">'電気（小水力）'!$A$1:$BS$315</definedName>
    <definedName name="_xlnm.Print_Area" localSheetId="7">'電気（太陽光）'!$A$1:$BS$315</definedName>
    <definedName name="_xlnm.Print_Area" localSheetId="2">病院!$A$1:$BS$315</definedName>
    <definedName name="業種名" localSheetId="3">[4]選択肢!$K$2:$K$19</definedName>
    <definedName name="業種名" localSheetId="4">[5]選択肢!$K$2:$K$19</definedName>
    <definedName name="業種名" localSheetId="6">[7]選択肢!$K$2:$K$19</definedName>
    <definedName name="業種名" localSheetId="5">[6]選択肢!$K$2:$K$19</definedName>
    <definedName name="業種名" localSheetId="12">[13]選択肢!$K$2:$K$19</definedName>
    <definedName name="業種名" localSheetId="11">[12]選択肢!$K$2:$K$19</definedName>
    <definedName name="業種名" localSheetId="14">[15]選択肢!$K$2:$K$19</definedName>
    <definedName name="業種名" localSheetId="13">[14]選択肢!$K$2:$K$19</definedName>
    <definedName name="業種名" localSheetId="1">[2]選択肢!$K$2:$K$19</definedName>
    <definedName name="業種名" localSheetId="9">[10]選択肢!$K$2:$K$19</definedName>
    <definedName name="業種名" localSheetId="10">[11]選択肢!$K$2:$K$19</definedName>
    <definedName name="業種名" localSheetId="8">[9]選択肢!$K$2:$K$19</definedName>
    <definedName name="業種名" localSheetId="7">[8]選択肢!$K$2:$K$19</definedName>
    <definedName name="業種名" localSheetId="2">[3]選択肢!$K$2:$K$19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15" l="1"/>
  <c r="AM283" i="15"/>
  <c r="U283" i="15"/>
  <c r="N283" i="15"/>
  <c r="N277" i="15"/>
  <c r="BN274" i="15"/>
  <c r="BJ274" i="15"/>
  <c r="BF274" i="15"/>
  <c r="AU273" i="15"/>
  <c r="AM273" i="15"/>
  <c r="BF271" i="15"/>
  <c r="U271" i="15"/>
  <c r="N271" i="15"/>
  <c r="AM260" i="15"/>
  <c r="U260" i="15"/>
  <c r="N260" i="15"/>
  <c r="AY256" i="15"/>
  <c r="AQ256" i="15"/>
  <c r="AQ254" i="15"/>
  <c r="N254" i="15"/>
  <c r="AY253" i="15"/>
  <c r="AQ252" i="15"/>
  <c r="BN251" i="15"/>
  <c r="BJ251" i="15"/>
  <c r="BF251" i="15"/>
  <c r="AQ250" i="15"/>
  <c r="BF248" i="15"/>
  <c r="AY248" i="15"/>
  <c r="AQ248" i="15"/>
  <c r="U248" i="15"/>
  <c r="N248" i="15"/>
  <c r="AM236" i="15"/>
  <c r="U236" i="15"/>
  <c r="N236" i="15"/>
  <c r="N230" i="15"/>
  <c r="BN227" i="15"/>
  <c r="BJ227" i="15"/>
  <c r="BF227" i="15"/>
  <c r="BF224" i="15"/>
  <c r="AN224" i="15"/>
  <c r="U224" i="15"/>
  <c r="N224" i="15"/>
  <c r="AM212" i="15"/>
  <c r="U212" i="15"/>
  <c r="N212" i="15"/>
  <c r="N206" i="15"/>
  <c r="BN203" i="15"/>
  <c r="BJ203" i="15"/>
  <c r="BF203" i="15"/>
  <c r="AU203" i="15"/>
  <c r="AM203" i="15"/>
  <c r="BF200" i="15"/>
  <c r="U200" i="15"/>
  <c r="N200" i="15"/>
  <c r="AM188" i="15"/>
  <c r="U188" i="15"/>
  <c r="N188" i="15"/>
  <c r="N182" i="15"/>
  <c r="AU179" i="15"/>
  <c r="AQ179" i="15"/>
  <c r="AM179" i="15"/>
  <c r="AM176" i="15"/>
  <c r="U176" i="15"/>
  <c r="N176" i="15"/>
  <c r="AM164" i="15"/>
  <c r="U164" i="15"/>
  <c r="N164" i="15"/>
  <c r="AK159" i="15"/>
  <c r="AC159" i="15"/>
  <c r="U159" i="15"/>
  <c r="N158" i="15"/>
  <c r="BA153" i="15"/>
  <c r="AS153" i="15"/>
  <c r="AK153" i="15"/>
  <c r="AC153" i="15"/>
  <c r="U153" i="15"/>
  <c r="AC147" i="15"/>
  <c r="U147" i="15"/>
  <c r="BX142" i="15"/>
  <c r="BN142" i="15"/>
  <c r="BJ142" i="15"/>
  <c r="BF142" i="15"/>
  <c r="U141" i="15"/>
  <c r="BF139" i="15"/>
  <c r="AM139" i="15"/>
  <c r="N139" i="15"/>
  <c r="AM127" i="15"/>
  <c r="U127" i="15"/>
  <c r="N127" i="15"/>
  <c r="AY122" i="15"/>
  <c r="AS122" i="15"/>
  <c r="AM122" i="15"/>
  <c r="U122" i="15"/>
  <c r="N119" i="15"/>
  <c r="U117" i="15"/>
  <c r="BN113" i="15"/>
  <c r="BJ113" i="15"/>
  <c r="BF113" i="15"/>
  <c r="U112" i="15"/>
  <c r="N112" i="15"/>
  <c r="BF110" i="15"/>
  <c r="AM110" i="15"/>
  <c r="AM98" i="15"/>
  <c r="U98" i="15"/>
  <c r="N98" i="15"/>
  <c r="AC93" i="15"/>
  <c r="U93" i="15"/>
  <c r="N92" i="15"/>
  <c r="BN89" i="15"/>
  <c r="BJ89" i="15"/>
  <c r="BF89" i="15"/>
  <c r="AC88" i="15"/>
  <c r="U88" i="15"/>
  <c r="BF86" i="15"/>
  <c r="AM86" i="15"/>
  <c r="N86" i="15"/>
  <c r="AM74" i="15"/>
  <c r="U74" i="15"/>
  <c r="N74" i="15"/>
  <c r="N68" i="15"/>
  <c r="BN65" i="15"/>
  <c r="BJ65" i="15"/>
  <c r="BF65" i="15"/>
  <c r="AU65" i="15"/>
  <c r="AM65" i="15"/>
  <c r="BF62" i="15"/>
  <c r="U62" i="15"/>
  <c r="N62" i="15"/>
  <c r="AM51" i="15"/>
  <c r="U51" i="15"/>
  <c r="N51" i="15"/>
  <c r="AM47" i="15"/>
  <c r="AM46" i="15"/>
  <c r="AM45" i="15"/>
  <c r="AM44" i="15"/>
  <c r="N44" i="15"/>
  <c r="AM43" i="15"/>
  <c r="AM42" i="15"/>
  <c r="BN39" i="15"/>
  <c r="BJ39" i="15"/>
  <c r="BF39" i="15"/>
  <c r="AU38" i="15"/>
  <c r="AM38" i="15"/>
  <c r="BF36" i="15"/>
  <c r="U36" i="15"/>
  <c r="N36" i="15"/>
  <c r="BB24" i="15"/>
  <c r="AT24" i="15"/>
  <c r="AM24" i="15"/>
  <c r="AF24" i="15"/>
  <c r="Y24" i="15"/>
  <c r="R24" i="15"/>
  <c r="K24" i="15"/>
  <c r="D24" i="15"/>
  <c r="BG11" i="15"/>
  <c r="AO11" i="15"/>
  <c r="U11" i="15"/>
  <c r="C11" i="15"/>
  <c r="D296" i="14" l="1"/>
  <c r="AM283" i="14"/>
  <c r="U283" i="14"/>
  <c r="N283" i="14"/>
  <c r="N277" i="14"/>
  <c r="BN274" i="14"/>
  <c r="BJ274" i="14"/>
  <c r="BF274" i="14"/>
  <c r="AU273" i="14"/>
  <c r="AM273" i="14"/>
  <c r="BF271" i="14"/>
  <c r="U271" i="14"/>
  <c r="N271" i="14"/>
  <c r="AM260" i="14"/>
  <c r="U260" i="14"/>
  <c r="N260" i="14"/>
  <c r="AY256" i="14"/>
  <c r="AQ256" i="14"/>
  <c r="AQ254" i="14"/>
  <c r="N254" i="14"/>
  <c r="AY253" i="14"/>
  <c r="AQ252" i="14"/>
  <c r="BN251" i="14"/>
  <c r="BJ251" i="14"/>
  <c r="BF251" i="14"/>
  <c r="AQ250" i="14"/>
  <c r="BF248" i="14"/>
  <c r="AY248" i="14"/>
  <c r="AQ248" i="14"/>
  <c r="U248" i="14"/>
  <c r="N248" i="14"/>
  <c r="AM236" i="14"/>
  <c r="U236" i="14"/>
  <c r="N236" i="14"/>
  <c r="N230" i="14"/>
  <c r="BN227" i="14"/>
  <c r="BJ227" i="14"/>
  <c r="BF227" i="14"/>
  <c r="BF224" i="14"/>
  <c r="AN224" i="14"/>
  <c r="U224" i="14"/>
  <c r="N224" i="14"/>
  <c r="AM212" i="14"/>
  <c r="U212" i="14"/>
  <c r="N212" i="14"/>
  <c r="N206" i="14"/>
  <c r="BN203" i="14"/>
  <c r="BJ203" i="14"/>
  <c r="BF203" i="14"/>
  <c r="AU203" i="14"/>
  <c r="AM203" i="14"/>
  <c r="BF200" i="14"/>
  <c r="U200" i="14"/>
  <c r="N200" i="14"/>
  <c r="AM188" i="14"/>
  <c r="U188" i="14"/>
  <c r="N188" i="14"/>
  <c r="N182" i="14"/>
  <c r="AU179" i="14"/>
  <c r="AQ179" i="14"/>
  <c r="AM179" i="14"/>
  <c r="AM176" i="14"/>
  <c r="U176" i="14"/>
  <c r="N176" i="14"/>
  <c r="AM164" i="14"/>
  <c r="U164" i="14"/>
  <c r="N164" i="14"/>
  <c r="AK159" i="14"/>
  <c r="AC159" i="14"/>
  <c r="U159" i="14"/>
  <c r="N158" i="14"/>
  <c r="BA153" i="14"/>
  <c r="AS153" i="14"/>
  <c r="AK153" i="14"/>
  <c r="AC153" i="14"/>
  <c r="U153" i="14"/>
  <c r="AC147" i="14"/>
  <c r="U147" i="14"/>
  <c r="BX142" i="14"/>
  <c r="BN142" i="14"/>
  <c r="BJ142" i="14"/>
  <c r="BF142" i="14"/>
  <c r="U141" i="14"/>
  <c r="BF139" i="14"/>
  <c r="AM139" i="14"/>
  <c r="N139" i="14"/>
  <c r="AM127" i="14"/>
  <c r="U127" i="14"/>
  <c r="N127" i="14"/>
  <c r="AY122" i="14"/>
  <c r="AS122" i="14"/>
  <c r="AM122" i="14"/>
  <c r="U122" i="14"/>
  <c r="N119" i="14"/>
  <c r="U117" i="14"/>
  <c r="BN113" i="14"/>
  <c r="BJ113" i="14"/>
  <c r="BF113" i="14"/>
  <c r="U112" i="14"/>
  <c r="N112" i="14"/>
  <c r="BF110" i="14"/>
  <c r="AM110" i="14"/>
  <c r="AM98" i="14"/>
  <c r="U98" i="14"/>
  <c r="N98" i="14"/>
  <c r="AC93" i="14"/>
  <c r="U93" i="14"/>
  <c r="N92" i="14"/>
  <c r="BN89" i="14"/>
  <c r="BJ89" i="14"/>
  <c r="BF89" i="14"/>
  <c r="AC88" i="14"/>
  <c r="U88" i="14"/>
  <c r="BF86" i="14"/>
  <c r="AM86" i="14"/>
  <c r="N86" i="14"/>
  <c r="AM74" i="14"/>
  <c r="U74" i="14"/>
  <c r="N74" i="14"/>
  <c r="N68" i="14"/>
  <c r="BN65" i="14"/>
  <c r="BJ65" i="14"/>
  <c r="BF65" i="14"/>
  <c r="AU65" i="14"/>
  <c r="AM65" i="14"/>
  <c r="BF62" i="14"/>
  <c r="U62" i="14"/>
  <c r="N62" i="14"/>
  <c r="AM51" i="14"/>
  <c r="U51" i="14"/>
  <c r="N51" i="14"/>
  <c r="AM47" i="14"/>
  <c r="AM46" i="14"/>
  <c r="AM45" i="14"/>
  <c r="AM44" i="14"/>
  <c r="N44" i="14"/>
  <c r="AM43" i="14"/>
  <c r="AM42" i="14"/>
  <c r="BN39" i="14"/>
  <c r="BJ39" i="14"/>
  <c r="BF39" i="14"/>
  <c r="AU38" i="14"/>
  <c r="AM38" i="14"/>
  <c r="BF36" i="14"/>
  <c r="U36" i="14"/>
  <c r="N36" i="14"/>
  <c r="BB24" i="14"/>
  <c r="AT24" i="14"/>
  <c r="AM24" i="14"/>
  <c r="AF24" i="14"/>
  <c r="Y24" i="14"/>
  <c r="R24" i="14"/>
  <c r="K24" i="14"/>
  <c r="D24" i="14"/>
  <c r="BG11" i="14"/>
  <c r="AO11" i="14"/>
  <c r="U11" i="14"/>
  <c r="C11" i="14"/>
  <c r="D296" i="13" l="1"/>
  <c r="AM283" i="13"/>
  <c r="U283" i="13"/>
  <c r="N283" i="13"/>
  <c r="N277" i="13"/>
  <c r="BN274" i="13"/>
  <c r="BJ274" i="13"/>
  <c r="BF274" i="13"/>
  <c r="AU273" i="13"/>
  <c r="AM273" i="13"/>
  <c r="BF271" i="13"/>
  <c r="U271" i="13"/>
  <c r="N271" i="13"/>
  <c r="AM260" i="13"/>
  <c r="U260" i="13"/>
  <c r="N260" i="13"/>
  <c r="AY256" i="13"/>
  <c r="AQ256" i="13"/>
  <c r="AQ254" i="13"/>
  <c r="N254" i="13"/>
  <c r="AY253" i="13"/>
  <c r="AQ252" i="13"/>
  <c r="BN251" i="13"/>
  <c r="BJ251" i="13"/>
  <c r="BF251" i="13"/>
  <c r="AQ250" i="13"/>
  <c r="BF248" i="13"/>
  <c r="AY248" i="13"/>
  <c r="AQ248" i="13"/>
  <c r="U248" i="13"/>
  <c r="N248" i="13"/>
  <c r="AM236" i="13"/>
  <c r="U236" i="13"/>
  <c r="N236" i="13"/>
  <c r="N230" i="13"/>
  <c r="BN227" i="13"/>
  <c r="BJ227" i="13"/>
  <c r="BF227" i="13"/>
  <c r="BF224" i="13"/>
  <c r="AN224" i="13"/>
  <c r="U224" i="13"/>
  <c r="N224" i="13"/>
  <c r="AM212" i="13"/>
  <c r="U212" i="13"/>
  <c r="N212" i="13"/>
  <c r="N206" i="13"/>
  <c r="BN203" i="13"/>
  <c r="BJ203" i="13"/>
  <c r="BF203" i="13"/>
  <c r="AU203" i="13"/>
  <c r="AM203" i="13"/>
  <c r="BF200" i="13"/>
  <c r="U200" i="13"/>
  <c r="N200" i="13"/>
  <c r="AM188" i="13"/>
  <c r="U188" i="13"/>
  <c r="N188" i="13"/>
  <c r="N182" i="13"/>
  <c r="AU179" i="13"/>
  <c r="AQ179" i="13"/>
  <c r="AM179" i="13"/>
  <c r="AM176" i="13"/>
  <c r="U176" i="13"/>
  <c r="N176" i="13"/>
  <c r="AM164" i="13"/>
  <c r="U164" i="13"/>
  <c r="N164" i="13"/>
  <c r="AK159" i="13"/>
  <c r="AC159" i="13"/>
  <c r="U159" i="13"/>
  <c r="N158" i="13"/>
  <c r="BA153" i="13"/>
  <c r="AS153" i="13"/>
  <c r="AK153" i="13"/>
  <c r="AC153" i="13"/>
  <c r="U153" i="13"/>
  <c r="AC147" i="13"/>
  <c r="U147" i="13"/>
  <c r="BX142" i="13"/>
  <c r="BN142" i="13"/>
  <c r="BJ142" i="13"/>
  <c r="BF142" i="13"/>
  <c r="U141" i="13"/>
  <c r="BF139" i="13"/>
  <c r="AM139" i="13"/>
  <c r="N139" i="13"/>
  <c r="AM127" i="13"/>
  <c r="U127" i="13"/>
  <c r="N127" i="13"/>
  <c r="AY122" i="13"/>
  <c r="AS122" i="13"/>
  <c r="AM122" i="13"/>
  <c r="U122" i="13"/>
  <c r="N119" i="13"/>
  <c r="U117" i="13"/>
  <c r="BN113" i="13"/>
  <c r="BJ113" i="13"/>
  <c r="BF113" i="13"/>
  <c r="U112" i="13"/>
  <c r="N112" i="13"/>
  <c r="BF110" i="13"/>
  <c r="AM110" i="13"/>
  <c r="AM98" i="13"/>
  <c r="U98" i="13"/>
  <c r="N98" i="13"/>
  <c r="AC93" i="13"/>
  <c r="U93" i="13"/>
  <c r="N92" i="13"/>
  <c r="BN89" i="13"/>
  <c r="BJ89" i="13"/>
  <c r="BF89" i="13"/>
  <c r="AC88" i="13"/>
  <c r="U88" i="13"/>
  <c r="BF86" i="13"/>
  <c r="AM86" i="13"/>
  <c r="N86" i="13"/>
  <c r="AM74" i="13"/>
  <c r="U74" i="13"/>
  <c r="N74" i="13"/>
  <c r="N68" i="13"/>
  <c r="BN65" i="13"/>
  <c r="BJ65" i="13"/>
  <c r="BF65" i="13"/>
  <c r="AU65" i="13"/>
  <c r="AM65" i="13"/>
  <c r="BF62" i="13"/>
  <c r="U62" i="13"/>
  <c r="N62" i="13"/>
  <c r="AM51" i="13"/>
  <c r="U51" i="13"/>
  <c r="N51" i="13"/>
  <c r="AM47" i="13"/>
  <c r="AM46" i="13"/>
  <c r="AM45" i="13"/>
  <c r="AM44" i="13"/>
  <c r="N44" i="13"/>
  <c r="AM43" i="13"/>
  <c r="AM42" i="13"/>
  <c r="BN39" i="13"/>
  <c r="BJ39" i="13"/>
  <c r="BF39" i="13"/>
  <c r="AU38" i="13"/>
  <c r="AM38" i="13"/>
  <c r="BF36" i="13"/>
  <c r="U36" i="13"/>
  <c r="N36" i="13"/>
  <c r="BB24" i="13"/>
  <c r="AT24" i="13"/>
  <c r="AM24" i="13"/>
  <c r="AF24" i="13"/>
  <c r="Y24" i="13"/>
  <c r="R24" i="13"/>
  <c r="K24" i="13"/>
  <c r="D24" i="13"/>
  <c r="BG11" i="13"/>
  <c r="AO11" i="13"/>
  <c r="U11" i="13"/>
  <c r="C11" i="13"/>
  <c r="D296" i="12" l="1"/>
  <c r="AM283" i="12"/>
  <c r="U283" i="12"/>
  <c r="N283" i="12"/>
  <c r="N277" i="12"/>
  <c r="BN274" i="12"/>
  <c r="BJ274" i="12"/>
  <c r="BF274" i="12"/>
  <c r="AU273" i="12"/>
  <c r="AM273" i="12"/>
  <c r="BF271" i="12"/>
  <c r="U271" i="12"/>
  <c r="N271" i="12"/>
  <c r="AM260" i="12"/>
  <c r="U260" i="12"/>
  <c r="N260" i="12"/>
  <c r="AY256" i="12"/>
  <c r="AQ256" i="12"/>
  <c r="AQ254" i="12"/>
  <c r="N254" i="12"/>
  <c r="AY253" i="12"/>
  <c r="AQ252" i="12"/>
  <c r="BN251" i="12"/>
  <c r="BJ251" i="12"/>
  <c r="BF251" i="12"/>
  <c r="AQ250" i="12"/>
  <c r="BF248" i="12"/>
  <c r="AY248" i="12"/>
  <c r="AQ248" i="12"/>
  <c r="U248" i="12"/>
  <c r="N248" i="12"/>
  <c r="AM236" i="12"/>
  <c r="U236" i="12"/>
  <c r="N236" i="12"/>
  <c r="N230" i="12"/>
  <c r="BN227" i="12"/>
  <c r="BJ227" i="12"/>
  <c r="BF227" i="12"/>
  <c r="BF224" i="12"/>
  <c r="AN224" i="12"/>
  <c r="U224" i="12"/>
  <c r="N224" i="12"/>
  <c r="AM212" i="12"/>
  <c r="U212" i="12"/>
  <c r="N212" i="12"/>
  <c r="N206" i="12"/>
  <c r="BN203" i="12"/>
  <c r="BJ203" i="12"/>
  <c r="BF203" i="12"/>
  <c r="AU203" i="12"/>
  <c r="AM203" i="12"/>
  <c r="BF200" i="12"/>
  <c r="U200" i="12"/>
  <c r="N200" i="12"/>
  <c r="AM188" i="12"/>
  <c r="U188" i="12"/>
  <c r="N188" i="12"/>
  <c r="N182" i="12"/>
  <c r="AU179" i="12"/>
  <c r="AQ179" i="12"/>
  <c r="AM179" i="12"/>
  <c r="AM176" i="12"/>
  <c r="U176" i="12"/>
  <c r="N176" i="12"/>
  <c r="AM164" i="12"/>
  <c r="U164" i="12"/>
  <c r="N164" i="12"/>
  <c r="AK159" i="12"/>
  <c r="AC159" i="12"/>
  <c r="U159" i="12"/>
  <c r="N158" i="12"/>
  <c r="BA153" i="12"/>
  <c r="AS153" i="12"/>
  <c r="AK153" i="12"/>
  <c r="AC153" i="12"/>
  <c r="U153" i="12"/>
  <c r="AC147" i="12"/>
  <c r="U147" i="12"/>
  <c r="BX142" i="12"/>
  <c r="BN142" i="12"/>
  <c r="BJ142" i="12"/>
  <c r="BF142" i="12"/>
  <c r="U141" i="12"/>
  <c r="BF139" i="12"/>
  <c r="AM139" i="12"/>
  <c r="N139" i="12"/>
  <c r="AM127" i="12"/>
  <c r="U127" i="12"/>
  <c r="N127" i="12"/>
  <c r="AY122" i="12"/>
  <c r="AS122" i="12"/>
  <c r="AM122" i="12"/>
  <c r="U122" i="12"/>
  <c r="N119" i="12"/>
  <c r="U117" i="12"/>
  <c r="BN113" i="12"/>
  <c r="BJ113" i="12"/>
  <c r="BF113" i="12"/>
  <c r="U112" i="12"/>
  <c r="N112" i="12"/>
  <c r="BF110" i="12"/>
  <c r="AM110" i="12"/>
  <c r="AM98" i="12"/>
  <c r="U98" i="12"/>
  <c r="N98" i="12"/>
  <c r="AC93" i="12"/>
  <c r="U93" i="12"/>
  <c r="N92" i="12"/>
  <c r="BN89" i="12"/>
  <c r="BJ89" i="12"/>
  <c r="BF89" i="12"/>
  <c r="AC88" i="12"/>
  <c r="U88" i="12"/>
  <c r="BF86" i="12"/>
  <c r="AM86" i="12"/>
  <c r="N86" i="12"/>
  <c r="AM74" i="12"/>
  <c r="U74" i="12"/>
  <c r="N74" i="12"/>
  <c r="N68" i="12"/>
  <c r="BN65" i="12"/>
  <c r="BJ65" i="12"/>
  <c r="BF65" i="12"/>
  <c r="AU65" i="12"/>
  <c r="AM65" i="12"/>
  <c r="BF62" i="12"/>
  <c r="U62" i="12"/>
  <c r="N62" i="12"/>
  <c r="AM51" i="12"/>
  <c r="U51" i="12"/>
  <c r="N51" i="12"/>
  <c r="AM47" i="12"/>
  <c r="AM46" i="12"/>
  <c r="AM45" i="12"/>
  <c r="AM44" i="12"/>
  <c r="N44" i="12"/>
  <c r="AM43" i="12"/>
  <c r="AM42" i="12"/>
  <c r="BN39" i="12"/>
  <c r="BJ39" i="12"/>
  <c r="BF39" i="12"/>
  <c r="AU38" i="12"/>
  <c r="AM38" i="12"/>
  <c r="BF36" i="12"/>
  <c r="U36" i="12"/>
  <c r="N36" i="12"/>
  <c r="BB24" i="12"/>
  <c r="AT24" i="12"/>
  <c r="AM24" i="12"/>
  <c r="AF24" i="12"/>
  <c r="Y24" i="12"/>
  <c r="R24" i="12"/>
  <c r="K24" i="12"/>
  <c r="D24" i="12"/>
  <c r="BG11" i="12"/>
  <c r="AO11" i="12"/>
  <c r="U11" i="12"/>
  <c r="C11" i="12"/>
  <c r="D296" i="11" l="1"/>
  <c r="AM283" i="11"/>
  <c r="U283" i="11"/>
  <c r="N283" i="11"/>
  <c r="N277" i="11"/>
  <c r="BN274" i="11"/>
  <c r="BJ274" i="11"/>
  <c r="BF274" i="11"/>
  <c r="AU273" i="11"/>
  <c r="AM273" i="11"/>
  <c r="BF271" i="11"/>
  <c r="U271" i="11"/>
  <c r="N271" i="11"/>
  <c r="AM260" i="11"/>
  <c r="U260" i="11"/>
  <c r="N260" i="11"/>
  <c r="AY256" i="11"/>
  <c r="AQ256" i="11"/>
  <c r="AQ254" i="11"/>
  <c r="N254" i="11"/>
  <c r="AY253" i="11"/>
  <c r="AQ252" i="11"/>
  <c r="BN251" i="11"/>
  <c r="BJ251" i="11"/>
  <c r="BF251" i="11"/>
  <c r="AQ250" i="11"/>
  <c r="BF248" i="11"/>
  <c r="AY248" i="11"/>
  <c r="AQ248" i="11"/>
  <c r="U248" i="11"/>
  <c r="N248" i="11"/>
  <c r="AM236" i="11"/>
  <c r="U236" i="11"/>
  <c r="N236" i="11"/>
  <c r="N230" i="11"/>
  <c r="BN227" i="11"/>
  <c r="BJ227" i="11"/>
  <c r="BF227" i="11"/>
  <c r="BF224" i="11"/>
  <c r="AN224" i="11"/>
  <c r="U224" i="11"/>
  <c r="N224" i="11"/>
  <c r="AM212" i="11"/>
  <c r="U212" i="11"/>
  <c r="N212" i="11"/>
  <c r="N206" i="11"/>
  <c r="BN203" i="11"/>
  <c r="BJ203" i="11"/>
  <c r="BF203" i="11"/>
  <c r="AU203" i="11"/>
  <c r="AM203" i="11"/>
  <c r="BF200" i="11"/>
  <c r="U200" i="11"/>
  <c r="N200" i="11"/>
  <c r="AM188" i="11"/>
  <c r="U188" i="11"/>
  <c r="N188" i="11"/>
  <c r="N182" i="11"/>
  <c r="AU179" i="11"/>
  <c r="AQ179" i="11"/>
  <c r="AM179" i="11"/>
  <c r="AM176" i="11"/>
  <c r="U176" i="11"/>
  <c r="N176" i="11"/>
  <c r="AM164" i="11"/>
  <c r="U164" i="11"/>
  <c r="N164" i="11"/>
  <c r="AK159" i="11"/>
  <c r="AC159" i="11"/>
  <c r="U159" i="11"/>
  <c r="N158" i="11"/>
  <c r="BA153" i="11"/>
  <c r="AS153" i="11"/>
  <c r="AK153" i="11"/>
  <c r="AC153" i="11"/>
  <c r="U153" i="11"/>
  <c r="AC147" i="11"/>
  <c r="U147" i="11"/>
  <c r="BX142" i="11"/>
  <c r="BN142" i="11"/>
  <c r="BJ142" i="11"/>
  <c r="BF142" i="11"/>
  <c r="U141" i="11"/>
  <c r="BF139" i="11"/>
  <c r="AM139" i="11"/>
  <c r="N139" i="11"/>
  <c r="AM127" i="11"/>
  <c r="U127" i="11"/>
  <c r="N127" i="11"/>
  <c r="AY122" i="11"/>
  <c r="AS122" i="11"/>
  <c r="AM122" i="11"/>
  <c r="U122" i="11"/>
  <c r="N119" i="11"/>
  <c r="U117" i="11"/>
  <c r="BN113" i="11"/>
  <c r="BJ113" i="11"/>
  <c r="BF113" i="11"/>
  <c r="U112" i="11"/>
  <c r="N112" i="11"/>
  <c r="BF110" i="11"/>
  <c r="AM110" i="11"/>
  <c r="AM98" i="11"/>
  <c r="U98" i="11"/>
  <c r="N98" i="11"/>
  <c r="AC93" i="11"/>
  <c r="U93" i="11"/>
  <c r="N92" i="11"/>
  <c r="BN89" i="11"/>
  <c r="BJ89" i="11"/>
  <c r="BF89" i="11"/>
  <c r="AC88" i="11"/>
  <c r="U88" i="11"/>
  <c r="BF86" i="11"/>
  <c r="AM86" i="11"/>
  <c r="N86" i="11"/>
  <c r="AM74" i="11"/>
  <c r="U74" i="11"/>
  <c r="N74" i="11"/>
  <c r="N68" i="11"/>
  <c r="BN65" i="11"/>
  <c r="BJ65" i="11"/>
  <c r="BF65" i="11"/>
  <c r="AU65" i="11"/>
  <c r="AM65" i="11"/>
  <c r="BF62" i="11"/>
  <c r="U62" i="11"/>
  <c r="N62" i="11"/>
  <c r="AM51" i="11"/>
  <c r="U51" i="11"/>
  <c r="N51" i="11"/>
  <c r="AM47" i="11"/>
  <c r="AM46" i="11"/>
  <c r="AM45" i="11"/>
  <c r="AM44" i="11"/>
  <c r="N44" i="11"/>
  <c r="AM43" i="11"/>
  <c r="AM42" i="11"/>
  <c r="BN39" i="11"/>
  <c r="BJ39" i="11"/>
  <c r="BF39" i="11"/>
  <c r="AU38" i="11"/>
  <c r="AM38" i="11"/>
  <c r="BF36" i="11"/>
  <c r="U36" i="11"/>
  <c r="N36" i="11"/>
  <c r="BB24" i="11"/>
  <c r="AT24" i="11"/>
  <c r="AM24" i="11"/>
  <c r="AF24" i="11"/>
  <c r="Y24" i="11"/>
  <c r="R24" i="11"/>
  <c r="K24" i="11"/>
  <c r="D24" i="11"/>
  <c r="BG11" i="11"/>
  <c r="AO11" i="11"/>
  <c r="U11" i="11"/>
  <c r="C11" i="11"/>
  <c r="D296" i="10" l="1"/>
  <c r="AM283" i="10"/>
  <c r="U283" i="10"/>
  <c r="N283" i="10"/>
  <c r="N277" i="10"/>
  <c r="BN274" i="10"/>
  <c r="BJ274" i="10"/>
  <c r="BF274" i="10"/>
  <c r="AU273" i="10"/>
  <c r="AM273" i="10"/>
  <c r="BF271" i="10"/>
  <c r="U271" i="10"/>
  <c r="N271" i="10"/>
  <c r="AM260" i="10"/>
  <c r="U260" i="10"/>
  <c r="N260" i="10"/>
  <c r="AY256" i="10"/>
  <c r="AQ256" i="10"/>
  <c r="AQ254" i="10"/>
  <c r="N254" i="10"/>
  <c r="AY253" i="10"/>
  <c r="AQ252" i="10"/>
  <c r="BN251" i="10"/>
  <c r="BJ251" i="10"/>
  <c r="BF251" i="10"/>
  <c r="AQ250" i="10"/>
  <c r="BF248" i="10"/>
  <c r="AY248" i="10"/>
  <c r="AQ248" i="10"/>
  <c r="U248" i="10"/>
  <c r="N248" i="10"/>
  <c r="AM236" i="10"/>
  <c r="U236" i="10"/>
  <c r="N236" i="10"/>
  <c r="N230" i="10"/>
  <c r="BN227" i="10"/>
  <c r="BJ227" i="10"/>
  <c r="BF227" i="10"/>
  <c r="BF224" i="10"/>
  <c r="AN224" i="10"/>
  <c r="U224" i="10"/>
  <c r="N224" i="10"/>
  <c r="AM212" i="10"/>
  <c r="U212" i="10"/>
  <c r="N212" i="10"/>
  <c r="N206" i="10"/>
  <c r="BN203" i="10"/>
  <c r="BJ203" i="10"/>
  <c r="BF203" i="10"/>
  <c r="AU203" i="10"/>
  <c r="AM203" i="10"/>
  <c r="BF200" i="10"/>
  <c r="U200" i="10"/>
  <c r="N200" i="10"/>
  <c r="AM188" i="10"/>
  <c r="U188" i="10"/>
  <c r="N188" i="10"/>
  <c r="N182" i="10"/>
  <c r="AU179" i="10"/>
  <c r="AQ179" i="10"/>
  <c r="AM179" i="10"/>
  <c r="AM176" i="10"/>
  <c r="U176" i="10"/>
  <c r="N176" i="10"/>
  <c r="AM164" i="10"/>
  <c r="U164" i="10"/>
  <c r="N164" i="10"/>
  <c r="AK159" i="10"/>
  <c r="AC159" i="10"/>
  <c r="U159" i="10"/>
  <c r="N158" i="10"/>
  <c r="BA153" i="10"/>
  <c r="AS153" i="10"/>
  <c r="AK153" i="10"/>
  <c r="AC153" i="10"/>
  <c r="U153" i="10"/>
  <c r="AC147" i="10"/>
  <c r="U147" i="10"/>
  <c r="BX142" i="10"/>
  <c r="BN142" i="10"/>
  <c r="BJ142" i="10"/>
  <c r="BF142" i="10"/>
  <c r="U141" i="10"/>
  <c r="BF139" i="10"/>
  <c r="AM139" i="10"/>
  <c r="N139" i="10"/>
  <c r="AM127" i="10"/>
  <c r="U127" i="10"/>
  <c r="N127" i="10"/>
  <c r="AY122" i="10"/>
  <c r="AS122" i="10"/>
  <c r="AM122" i="10"/>
  <c r="U122" i="10"/>
  <c r="N119" i="10"/>
  <c r="U117" i="10"/>
  <c r="BN113" i="10"/>
  <c r="BJ113" i="10"/>
  <c r="BF113" i="10"/>
  <c r="U112" i="10"/>
  <c r="N112" i="10"/>
  <c r="BF110" i="10"/>
  <c r="AM110" i="10"/>
  <c r="AM98" i="10"/>
  <c r="U98" i="10"/>
  <c r="N98" i="10"/>
  <c r="AC93" i="10"/>
  <c r="U93" i="10"/>
  <c r="N92" i="10"/>
  <c r="BN89" i="10"/>
  <c r="BJ89" i="10"/>
  <c r="BF89" i="10"/>
  <c r="AC88" i="10"/>
  <c r="U88" i="10"/>
  <c r="BF86" i="10"/>
  <c r="AM86" i="10"/>
  <c r="N86" i="10"/>
  <c r="AM74" i="10"/>
  <c r="U74" i="10"/>
  <c r="N74" i="10"/>
  <c r="N68" i="10"/>
  <c r="BN65" i="10"/>
  <c r="BJ65" i="10"/>
  <c r="BF65" i="10"/>
  <c r="AU65" i="10"/>
  <c r="AM65" i="10"/>
  <c r="BF62" i="10"/>
  <c r="U62" i="10"/>
  <c r="N62" i="10"/>
  <c r="AM51" i="10"/>
  <c r="U51" i="10"/>
  <c r="N51" i="10"/>
  <c r="AM47" i="10"/>
  <c r="AM46" i="10"/>
  <c r="AM45" i="10"/>
  <c r="AM44" i="10"/>
  <c r="N44" i="10"/>
  <c r="AM43" i="10"/>
  <c r="AM42" i="10"/>
  <c r="BN39" i="10"/>
  <c r="BJ39" i="10"/>
  <c r="BF39" i="10"/>
  <c r="AU38" i="10"/>
  <c r="AM38" i="10"/>
  <c r="BF36" i="10"/>
  <c r="U36" i="10"/>
  <c r="N36" i="10"/>
  <c r="BB24" i="10"/>
  <c r="AT24" i="10"/>
  <c r="AM24" i="10"/>
  <c r="AF24" i="10"/>
  <c r="Y24" i="10"/>
  <c r="R24" i="10"/>
  <c r="K24" i="10"/>
  <c r="D24" i="10"/>
  <c r="BG11" i="10"/>
  <c r="AO11" i="10"/>
  <c r="U11" i="10"/>
  <c r="C11" i="10"/>
  <c r="D296" i="9" l="1"/>
  <c r="AM283" i="9"/>
  <c r="U283" i="9"/>
  <c r="N283" i="9"/>
  <c r="N277" i="9"/>
  <c r="BN274" i="9"/>
  <c r="BJ274" i="9"/>
  <c r="BF274" i="9"/>
  <c r="AU273" i="9"/>
  <c r="AM273" i="9"/>
  <c r="BF271" i="9"/>
  <c r="U271" i="9"/>
  <c r="N271" i="9"/>
  <c r="AM260" i="9"/>
  <c r="U260" i="9"/>
  <c r="N260" i="9"/>
  <c r="AY256" i="9"/>
  <c r="AQ256" i="9"/>
  <c r="AQ254" i="9"/>
  <c r="N254" i="9"/>
  <c r="AY253" i="9"/>
  <c r="AQ252" i="9"/>
  <c r="BN251" i="9"/>
  <c r="BJ251" i="9"/>
  <c r="BF251" i="9"/>
  <c r="AQ250" i="9"/>
  <c r="BF248" i="9"/>
  <c r="AY248" i="9"/>
  <c r="AQ248" i="9"/>
  <c r="U248" i="9"/>
  <c r="N248" i="9"/>
  <c r="AM236" i="9"/>
  <c r="U236" i="9"/>
  <c r="N236" i="9"/>
  <c r="N230" i="9"/>
  <c r="BN227" i="9"/>
  <c r="BJ227" i="9"/>
  <c r="BF227" i="9"/>
  <c r="BF224" i="9"/>
  <c r="AN224" i="9"/>
  <c r="U224" i="9"/>
  <c r="N224" i="9"/>
  <c r="AM212" i="9"/>
  <c r="U212" i="9"/>
  <c r="N212" i="9"/>
  <c r="N206" i="9"/>
  <c r="BN203" i="9"/>
  <c r="BJ203" i="9"/>
  <c r="BF203" i="9"/>
  <c r="AU203" i="9"/>
  <c r="AM203" i="9"/>
  <c r="BF200" i="9"/>
  <c r="U200" i="9"/>
  <c r="N200" i="9"/>
  <c r="AM188" i="9"/>
  <c r="U188" i="9"/>
  <c r="N188" i="9"/>
  <c r="N182" i="9"/>
  <c r="AU179" i="9"/>
  <c r="AQ179" i="9"/>
  <c r="AM179" i="9"/>
  <c r="AM176" i="9"/>
  <c r="U176" i="9"/>
  <c r="N176" i="9"/>
  <c r="AM164" i="9"/>
  <c r="U164" i="9"/>
  <c r="N164" i="9"/>
  <c r="AK159" i="9"/>
  <c r="AC159" i="9"/>
  <c r="U159" i="9"/>
  <c r="N158" i="9"/>
  <c r="BA153" i="9"/>
  <c r="AS153" i="9"/>
  <c r="AK153" i="9"/>
  <c r="AC153" i="9"/>
  <c r="U153" i="9"/>
  <c r="AC147" i="9"/>
  <c r="U147" i="9"/>
  <c r="BX142" i="9"/>
  <c r="BN142" i="9"/>
  <c r="BJ142" i="9"/>
  <c r="BF142" i="9"/>
  <c r="U141" i="9"/>
  <c r="BF139" i="9"/>
  <c r="AM139" i="9"/>
  <c r="N139" i="9"/>
  <c r="AM127" i="9"/>
  <c r="U127" i="9"/>
  <c r="N127" i="9"/>
  <c r="AY122" i="9"/>
  <c r="AS122" i="9"/>
  <c r="AM122" i="9"/>
  <c r="U122" i="9"/>
  <c r="N119" i="9"/>
  <c r="U117" i="9"/>
  <c r="BN113" i="9"/>
  <c r="BJ113" i="9"/>
  <c r="BF113" i="9"/>
  <c r="U112" i="9"/>
  <c r="N112" i="9"/>
  <c r="BF110" i="9"/>
  <c r="AM110" i="9"/>
  <c r="AM98" i="9"/>
  <c r="U98" i="9"/>
  <c r="N98" i="9"/>
  <c r="AC93" i="9"/>
  <c r="U93" i="9"/>
  <c r="N92" i="9"/>
  <c r="BN89" i="9"/>
  <c r="BJ89" i="9"/>
  <c r="BF89" i="9"/>
  <c r="AC88" i="9"/>
  <c r="U88" i="9"/>
  <c r="BF86" i="9"/>
  <c r="AM86" i="9"/>
  <c r="N86" i="9"/>
  <c r="AM74" i="9"/>
  <c r="U74" i="9"/>
  <c r="N74" i="9"/>
  <c r="N68" i="9"/>
  <c r="BN65" i="9"/>
  <c r="BJ65" i="9"/>
  <c r="BF65" i="9"/>
  <c r="AU65" i="9"/>
  <c r="AM65" i="9"/>
  <c r="BF62" i="9"/>
  <c r="U62" i="9"/>
  <c r="N62" i="9"/>
  <c r="AM51" i="9"/>
  <c r="U51" i="9"/>
  <c r="N51" i="9"/>
  <c r="AM47" i="9"/>
  <c r="AM46" i="9"/>
  <c r="AM45" i="9"/>
  <c r="AM44" i="9"/>
  <c r="N44" i="9"/>
  <c r="AM43" i="9"/>
  <c r="AM42" i="9"/>
  <c r="BN39" i="9"/>
  <c r="BJ39" i="9"/>
  <c r="BF39" i="9"/>
  <c r="AU38" i="9"/>
  <c r="AM38" i="9"/>
  <c r="BF36" i="9"/>
  <c r="U36" i="9"/>
  <c r="N36" i="9"/>
  <c r="BB24" i="9"/>
  <c r="AT24" i="9"/>
  <c r="AM24" i="9"/>
  <c r="AF24" i="9"/>
  <c r="Y24" i="9"/>
  <c r="R24" i="9"/>
  <c r="K24" i="9"/>
  <c r="D24" i="9"/>
  <c r="BG11" i="9"/>
  <c r="AO11" i="9"/>
  <c r="U11" i="9"/>
  <c r="C11" i="9"/>
  <c r="D296" i="8" l="1"/>
  <c r="AM283" i="8"/>
  <c r="U283" i="8"/>
  <c r="N283" i="8"/>
  <c r="N277" i="8"/>
  <c r="BN274" i="8"/>
  <c r="BJ274" i="8"/>
  <c r="BF274" i="8"/>
  <c r="AU273" i="8"/>
  <c r="AM273" i="8"/>
  <c r="BF271" i="8"/>
  <c r="U271" i="8"/>
  <c r="N271" i="8"/>
  <c r="AM260" i="8"/>
  <c r="U260" i="8"/>
  <c r="N260" i="8"/>
  <c r="AY256" i="8"/>
  <c r="AQ256" i="8"/>
  <c r="AQ254" i="8"/>
  <c r="N254" i="8"/>
  <c r="AY253" i="8"/>
  <c r="AQ252" i="8"/>
  <c r="BN251" i="8"/>
  <c r="BJ251" i="8"/>
  <c r="BF251" i="8"/>
  <c r="AQ250" i="8"/>
  <c r="BF248" i="8"/>
  <c r="AY248" i="8"/>
  <c r="AQ248" i="8"/>
  <c r="U248" i="8"/>
  <c r="N248" i="8"/>
  <c r="AM236" i="8"/>
  <c r="U236" i="8"/>
  <c r="N236" i="8"/>
  <c r="N230" i="8"/>
  <c r="BN227" i="8"/>
  <c r="BJ227" i="8"/>
  <c r="BF227" i="8"/>
  <c r="BF224" i="8"/>
  <c r="AN224" i="8"/>
  <c r="U224" i="8"/>
  <c r="N224" i="8"/>
  <c r="AM212" i="8"/>
  <c r="U212" i="8"/>
  <c r="N212" i="8"/>
  <c r="N206" i="8"/>
  <c r="BN203" i="8"/>
  <c r="BJ203" i="8"/>
  <c r="BF203" i="8"/>
  <c r="AU203" i="8"/>
  <c r="AM203" i="8"/>
  <c r="BF200" i="8"/>
  <c r="U200" i="8"/>
  <c r="N200" i="8"/>
  <c r="AM188" i="8"/>
  <c r="U188" i="8"/>
  <c r="N188" i="8"/>
  <c r="N182" i="8"/>
  <c r="AU179" i="8"/>
  <c r="AQ179" i="8"/>
  <c r="AM179" i="8"/>
  <c r="AM176" i="8"/>
  <c r="U176" i="8"/>
  <c r="N176" i="8"/>
  <c r="AM164" i="8"/>
  <c r="U164" i="8"/>
  <c r="N164" i="8"/>
  <c r="AK159" i="8"/>
  <c r="AC159" i="8"/>
  <c r="U159" i="8"/>
  <c r="N158" i="8"/>
  <c r="BA153" i="8"/>
  <c r="AS153" i="8"/>
  <c r="AK153" i="8"/>
  <c r="AC153" i="8"/>
  <c r="U153" i="8"/>
  <c r="AC147" i="8"/>
  <c r="U147" i="8"/>
  <c r="BX142" i="8"/>
  <c r="BN142" i="8"/>
  <c r="BJ142" i="8"/>
  <c r="BF142" i="8"/>
  <c r="U141" i="8"/>
  <c r="BF139" i="8"/>
  <c r="AM139" i="8"/>
  <c r="N139" i="8"/>
  <c r="AM127" i="8"/>
  <c r="U127" i="8"/>
  <c r="N127" i="8"/>
  <c r="AY122" i="8"/>
  <c r="AS122" i="8"/>
  <c r="AM122" i="8"/>
  <c r="U122" i="8"/>
  <c r="N119" i="8"/>
  <c r="U117" i="8"/>
  <c r="BN113" i="8"/>
  <c r="BJ113" i="8"/>
  <c r="BF113" i="8"/>
  <c r="U112" i="8"/>
  <c r="N112" i="8"/>
  <c r="BF110" i="8"/>
  <c r="AM110" i="8"/>
  <c r="AM98" i="8"/>
  <c r="U98" i="8"/>
  <c r="N98" i="8"/>
  <c r="AC93" i="8"/>
  <c r="U93" i="8"/>
  <c r="N92" i="8"/>
  <c r="BN89" i="8"/>
  <c r="BJ89" i="8"/>
  <c r="BF89" i="8"/>
  <c r="AC88" i="8"/>
  <c r="U88" i="8"/>
  <c r="BF86" i="8"/>
  <c r="AM86" i="8"/>
  <c r="N86" i="8"/>
  <c r="AM74" i="8"/>
  <c r="U74" i="8"/>
  <c r="N74" i="8"/>
  <c r="N68" i="8"/>
  <c r="BN65" i="8"/>
  <c r="BJ65" i="8"/>
  <c r="BF65" i="8"/>
  <c r="AU65" i="8"/>
  <c r="AM65" i="8"/>
  <c r="BF62" i="8"/>
  <c r="U62" i="8"/>
  <c r="N62" i="8"/>
  <c r="AM51" i="8"/>
  <c r="U51" i="8"/>
  <c r="N51" i="8"/>
  <c r="AM47" i="8"/>
  <c r="AM46" i="8"/>
  <c r="AM45" i="8"/>
  <c r="AM44" i="8"/>
  <c r="N44" i="8"/>
  <c r="AM43" i="8"/>
  <c r="AM42" i="8"/>
  <c r="BN39" i="8"/>
  <c r="BJ39" i="8"/>
  <c r="BF39" i="8"/>
  <c r="AU38" i="8"/>
  <c r="AM38" i="8"/>
  <c r="BF36" i="8"/>
  <c r="U36" i="8"/>
  <c r="N36" i="8"/>
  <c r="BB24" i="8"/>
  <c r="AT24" i="8"/>
  <c r="AM24" i="8"/>
  <c r="AF24" i="8"/>
  <c r="Y24" i="8"/>
  <c r="R24" i="8"/>
  <c r="K24" i="8"/>
  <c r="D24" i="8"/>
  <c r="BG11" i="8"/>
  <c r="AO11" i="8"/>
  <c r="U11" i="8"/>
  <c r="C11" i="8"/>
  <c r="D296" i="7" l="1"/>
  <c r="AM283" i="7"/>
  <c r="U283" i="7"/>
  <c r="N283" i="7"/>
  <c r="N277" i="7"/>
  <c r="BN274" i="7"/>
  <c r="BJ274" i="7"/>
  <c r="BF274" i="7"/>
  <c r="AU273" i="7"/>
  <c r="AM273" i="7"/>
  <c r="BF271" i="7"/>
  <c r="U271" i="7"/>
  <c r="N271" i="7"/>
  <c r="AM260" i="7"/>
  <c r="U260" i="7"/>
  <c r="N260" i="7"/>
  <c r="AY256" i="7"/>
  <c r="AQ256" i="7"/>
  <c r="AQ254" i="7"/>
  <c r="N254" i="7"/>
  <c r="AY253" i="7"/>
  <c r="AQ252" i="7"/>
  <c r="BN251" i="7"/>
  <c r="BJ251" i="7"/>
  <c r="BF251" i="7"/>
  <c r="AQ250" i="7"/>
  <c r="BF248" i="7"/>
  <c r="AY248" i="7"/>
  <c r="AQ248" i="7"/>
  <c r="U248" i="7"/>
  <c r="N248" i="7"/>
  <c r="AM236" i="7"/>
  <c r="U236" i="7"/>
  <c r="N236" i="7"/>
  <c r="N230" i="7"/>
  <c r="BN227" i="7"/>
  <c r="BJ227" i="7"/>
  <c r="BF227" i="7"/>
  <c r="BF224" i="7"/>
  <c r="AN224" i="7"/>
  <c r="U224" i="7"/>
  <c r="N224" i="7"/>
  <c r="AM212" i="7"/>
  <c r="U212" i="7"/>
  <c r="N212" i="7"/>
  <c r="N206" i="7"/>
  <c r="BN203" i="7"/>
  <c r="BJ203" i="7"/>
  <c r="BF203" i="7"/>
  <c r="AU203" i="7"/>
  <c r="AM203" i="7"/>
  <c r="BF200" i="7"/>
  <c r="U200" i="7"/>
  <c r="N200" i="7"/>
  <c r="AM188" i="7"/>
  <c r="U188" i="7"/>
  <c r="N188" i="7"/>
  <c r="N182" i="7"/>
  <c r="AU179" i="7"/>
  <c r="AQ179" i="7"/>
  <c r="AM179" i="7"/>
  <c r="AM176" i="7"/>
  <c r="U176" i="7"/>
  <c r="N176" i="7"/>
  <c r="AM164" i="7"/>
  <c r="U164" i="7"/>
  <c r="N164" i="7"/>
  <c r="AK159" i="7"/>
  <c r="AC159" i="7"/>
  <c r="U159" i="7"/>
  <c r="N158" i="7"/>
  <c r="BA153" i="7"/>
  <c r="AS153" i="7"/>
  <c r="AK153" i="7"/>
  <c r="AC153" i="7"/>
  <c r="U153" i="7"/>
  <c r="AC147" i="7"/>
  <c r="U147" i="7"/>
  <c r="BX142" i="7"/>
  <c r="BN142" i="7"/>
  <c r="BJ142" i="7"/>
  <c r="BF142" i="7"/>
  <c r="U141" i="7"/>
  <c r="BF139" i="7"/>
  <c r="AM139" i="7"/>
  <c r="N139" i="7"/>
  <c r="AM127" i="7"/>
  <c r="U127" i="7"/>
  <c r="N127" i="7"/>
  <c r="AY122" i="7"/>
  <c r="AS122" i="7"/>
  <c r="AM122" i="7"/>
  <c r="U122" i="7"/>
  <c r="N119" i="7"/>
  <c r="U117" i="7"/>
  <c r="BN113" i="7"/>
  <c r="BJ113" i="7"/>
  <c r="BF113" i="7"/>
  <c r="U112" i="7"/>
  <c r="N112" i="7"/>
  <c r="BF110" i="7"/>
  <c r="AM110" i="7"/>
  <c r="AM98" i="7"/>
  <c r="U98" i="7"/>
  <c r="N98" i="7"/>
  <c r="AC93" i="7"/>
  <c r="U93" i="7"/>
  <c r="N92" i="7"/>
  <c r="BN89" i="7"/>
  <c r="BJ89" i="7"/>
  <c r="BF89" i="7"/>
  <c r="AC88" i="7"/>
  <c r="U88" i="7"/>
  <c r="BF86" i="7"/>
  <c r="AM86" i="7"/>
  <c r="N86" i="7"/>
  <c r="AM74" i="7"/>
  <c r="U74" i="7"/>
  <c r="N74" i="7"/>
  <c r="N68" i="7"/>
  <c r="BN65" i="7"/>
  <c r="BJ65" i="7"/>
  <c r="BF65" i="7"/>
  <c r="AU65" i="7"/>
  <c r="AM65" i="7"/>
  <c r="BF62" i="7"/>
  <c r="U62" i="7"/>
  <c r="N62" i="7"/>
  <c r="AM51" i="7"/>
  <c r="U51" i="7"/>
  <c r="N51" i="7"/>
  <c r="AM47" i="7"/>
  <c r="AM46" i="7"/>
  <c r="AM45" i="7"/>
  <c r="AM44" i="7"/>
  <c r="N44" i="7"/>
  <c r="AM43" i="7"/>
  <c r="AM42" i="7"/>
  <c r="BN39" i="7"/>
  <c r="BJ39" i="7"/>
  <c r="BF39" i="7"/>
  <c r="AU38" i="7"/>
  <c r="AM38" i="7"/>
  <c r="BF36" i="7"/>
  <c r="U36" i="7"/>
  <c r="N36" i="7"/>
  <c r="BB24" i="7"/>
  <c r="AT24" i="7"/>
  <c r="AM24" i="7"/>
  <c r="AF24" i="7"/>
  <c r="Y24" i="7"/>
  <c r="R24" i="7"/>
  <c r="K24" i="7"/>
  <c r="D24" i="7"/>
  <c r="BG11" i="7"/>
  <c r="AO11" i="7"/>
  <c r="U11" i="7"/>
  <c r="C11" i="7"/>
  <c r="D296" i="6" l="1"/>
  <c r="AM283" i="6"/>
  <c r="U283" i="6"/>
  <c r="N283" i="6"/>
  <c r="N277" i="6"/>
  <c r="BN274" i="6"/>
  <c r="BJ274" i="6"/>
  <c r="BF274" i="6"/>
  <c r="AU273" i="6"/>
  <c r="AM273" i="6"/>
  <c r="BF271" i="6"/>
  <c r="U271" i="6"/>
  <c r="N271" i="6"/>
  <c r="AM260" i="6"/>
  <c r="U260" i="6"/>
  <c r="N260" i="6"/>
  <c r="AY256" i="6"/>
  <c r="AQ256" i="6"/>
  <c r="AQ254" i="6"/>
  <c r="N254" i="6"/>
  <c r="AY253" i="6"/>
  <c r="AQ252" i="6"/>
  <c r="BN251" i="6"/>
  <c r="BJ251" i="6"/>
  <c r="BF251" i="6"/>
  <c r="AQ250" i="6"/>
  <c r="BF248" i="6"/>
  <c r="AY248" i="6"/>
  <c r="AQ248" i="6"/>
  <c r="U248" i="6"/>
  <c r="N248" i="6"/>
  <c r="AM236" i="6"/>
  <c r="U236" i="6"/>
  <c r="N236" i="6"/>
  <c r="N230" i="6"/>
  <c r="BN227" i="6"/>
  <c r="BJ227" i="6"/>
  <c r="BF227" i="6"/>
  <c r="BF224" i="6"/>
  <c r="AN224" i="6"/>
  <c r="U224" i="6"/>
  <c r="N224" i="6"/>
  <c r="AM212" i="6"/>
  <c r="U212" i="6"/>
  <c r="N212" i="6"/>
  <c r="N206" i="6"/>
  <c r="BN203" i="6"/>
  <c r="BJ203" i="6"/>
  <c r="BF203" i="6"/>
  <c r="AU203" i="6"/>
  <c r="AM203" i="6"/>
  <c r="BF200" i="6"/>
  <c r="U200" i="6"/>
  <c r="N200" i="6"/>
  <c r="AM188" i="6"/>
  <c r="U188" i="6"/>
  <c r="N188" i="6"/>
  <c r="N182" i="6"/>
  <c r="AU179" i="6"/>
  <c r="AQ179" i="6"/>
  <c r="AM179" i="6"/>
  <c r="AM176" i="6"/>
  <c r="U176" i="6"/>
  <c r="N176" i="6"/>
  <c r="AM164" i="6"/>
  <c r="U164" i="6"/>
  <c r="N164" i="6"/>
  <c r="AK159" i="6"/>
  <c r="AC159" i="6"/>
  <c r="U159" i="6"/>
  <c r="N158" i="6"/>
  <c r="BA153" i="6"/>
  <c r="AS153" i="6"/>
  <c r="AK153" i="6"/>
  <c r="AC153" i="6"/>
  <c r="U153" i="6"/>
  <c r="AC147" i="6"/>
  <c r="U147" i="6"/>
  <c r="BX142" i="6"/>
  <c r="BN142" i="6"/>
  <c r="BJ142" i="6"/>
  <c r="BF142" i="6"/>
  <c r="U141" i="6"/>
  <c r="BF139" i="6"/>
  <c r="AM139" i="6"/>
  <c r="N139" i="6"/>
  <c r="AM127" i="6"/>
  <c r="U127" i="6"/>
  <c r="N127" i="6"/>
  <c r="AY122" i="6"/>
  <c r="AS122" i="6"/>
  <c r="AM122" i="6"/>
  <c r="U122" i="6"/>
  <c r="N119" i="6"/>
  <c r="U117" i="6"/>
  <c r="BN113" i="6"/>
  <c r="BJ113" i="6"/>
  <c r="BF113" i="6"/>
  <c r="U112" i="6"/>
  <c r="N112" i="6"/>
  <c r="BF110" i="6"/>
  <c r="AM110" i="6"/>
  <c r="AM98" i="6"/>
  <c r="U98" i="6"/>
  <c r="N98" i="6"/>
  <c r="AC93" i="6"/>
  <c r="U93" i="6"/>
  <c r="N92" i="6"/>
  <c r="BN89" i="6"/>
  <c r="BJ89" i="6"/>
  <c r="BF89" i="6"/>
  <c r="AC88" i="6"/>
  <c r="U88" i="6"/>
  <c r="BF86" i="6"/>
  <c r="AM86" i="6"/>
  <c r="N86" i="6"/>
  <c r="AM74" i="6"/>
  <c r="U74" i="6"/>
  <c r="N74" i="6"/>
  <c r="N68" i="6"/>
  <c r="BN65" i="6"/>
  <c r="BJ65" i="6"/>
  <c r="BF65" i="6"/>
  <c r="AU65" i="6"/>
  <c r="AM65" i="6"/>
  <c r="BF62" i="6"/>
  <c r="U62" i="6"/>
  <c r="N62" i="6"/>
  <c r="AM51" i="6"/>
  <c r="U51" i="6"/>
  <c r="N51" i="6"/>
  <c r="AM47" i="6"/>
  <c r="AM46" i="6"/>
  <c r="AM45" i="6"/>
  <c r="AM44" i="6"/>
  <c r="N44" i="6"/>
  <c r="AM43" i="6"/>
  <c r="AM42" i="6"/>
  <c r="BN39" i="6"/>
  <c r="BJ39" i="6"/>
  <c r="BF39" i="6"/>
  <c r="AU38" i="6"/>
  <c r="AM38" i="6"/>
  <c r="BF36" i="6"/>
  <c r="U36" i="6"/>
  <c r="N36" i="6"/>
  <c r="BB24" i="6"/>
  <c r="AT24" i="6"/>
  <c r="AM24" i="6"/>
  <c r="AF24" i="6"/>
  <c r="Y24" i="6"/>
  <c r="R24" i="6"/>
  <c r="K24" i="6"/>
  <c r="D24" i="6"/>
  <c r="BG11" i="6"/>
  <c r="AO11" i="6"/>
  <c r="U11" i="6"/>
  <c r="C11" i="6"/>
  <c r="D296" i="5" l="1"/>
  <c r="AM283" i="5"/>
  <c r="U283" i="5"/>
  <c r="N283" i="5"/>
  <c r="N277" i="5"/>
  <c r="BN274" i="5"/>
  <c r="BJ274" i="5"/>
  <c r="BF274" i="5"/>
  <c r="AU273" i="5"/>
  <c r="AM273" i="5"/>
  <c r="BF271" i="5"/>
  <c r="U271" i="5"/>
  <c r="N271" i="5"/>
  <c r="AM260" i="5"/>
  <c r="U260" i="5"/>
  <c r="N260" i="5"/>
  <c r="AY256" i="5"/>
  <c r="AQ256" i="5"/>
  <c r="AQ254" i="5"/>
  <c r="N254" i="5"/>
  <c r="AY253" i="5"/>
  <c r="AQ252" i="5"/>
  <c r="BN251" i="5"/>
  <c r="BJ251" i="5"/>
  <c r="BF251" i="5"/>
  <c r="AQ250" i="5"/>
  <c r="BF248" i="5"/>
  <c r="AY248" i="5"/>
  <c r="AQ248" i="5"/>
  <c r="U248" i="5"/>
  <c r="N248" i="5"/>
  <c r="AM236" i="5"/>
  <c r="U236" i="5"/>
  <c r="N236" i="5"/>
  <c r="N230" i="5"/>
  <c r="BN227" i="5"/>
  <c r="BJ227" i="5"/>
  <c r="BF227" i="5"/>
  <c r="BF224" i="5"/>
  <c r="AN224" i="5"/>
  <c r="U224" i="5"/>
  <c r="N224" i="5"/>
  <c r="AM212" i="5"/>
  <c r="U212" i="5"/>
  <c r="N212" i="5"/>
  <c r="N206" i="5"/>
  <c r="BN203" i="5"/>
  <c r="BJ203" i="5"/>
  <c r="BF203" i="5"/>
  <c r="AU203" i="5"/>
  <c r="AM203" i="5"/>
  <c r="BF200" i="5"/>
  <c r="U200" i="5"/>
  <c r="N200" i="5"/>
  <c r="AM188" i="5"/>
  <c r="U188" i="5"/>
  <c r="N188" i="5"/>
  <c r="N182" i="5"/>
  <c r="AU179" i="5"/>
  <c r="AQ179" i="5"/>
  <c r="AM179" i="5"/>
  <c r="AM176" i="5"/>
  <c r="U176" i="5"/>
  <c r="N176" i="5"/>
  <c r="AM164" i="5"/>
  <c r="U164" i="5"/>
  <c r="N164" i="5"/>
  <c r="AK159" i="5"/>
  <c r="AC159" i="5"/>
  <c r="U159" i="5"/>
  <c r="N158" i="5"/>
  <c r="BA153" i="5"/>
  <c r="AS153" i="5"/>
  <c r="AK153" i="5"/>
  <c r="AC153" i="5"/>
  <c r="U153" i="5"/>
  <c r="AC147" i="5"/>
  <c r="U147" i="5"/>
  <c r="BX142" i="5"/>
  <c r="BN142" i="5"/>
  <c r="BJ142" i="5"/>
  <c r="BF142" i="5"/>
  <c r="U141" i="5"/>
  <c r="BF139" i="5"/>
  <c r="AM139" i="5"/>
  <c r="N139" i="5"/>
  <c r="AM127" i="5"/>
  <c r="U127" i="5"/>
  <c r="N127" i="5"/>
  <c r="AY122" i="5"/>
  <c r="AS122" i="5"/>
  <c r="AM122" i="5"/>
  <c r="U122" i="5"/>
  <c r="N119" i="5"/>
  <c r="U117" i="5"/>
  <c r="BN113" i="5"/>
  <c r="BJ113" i="5"/>
  <c r="BF113" i="5"/>
  <c r="U112" i="5"/>
  <c r="N112" i="5"/>
  <c r="BF110" i="5"/>
  <c r="AM110" i="5"/>
  <c r="AM98" i="5"/>
  <c r="U98" i="5"/>
  <c r="N98" i="5"/>
  <c r="AC93" i="5"/>
  <c r="U93" i="5"/>
  <c r="N92" i="5"/>
  <c r="BN89" i="5"/>
  <c r="BJ89" i="5"/>
  <c r="BF89" i="5"/>
  <c r="AC88" i="5"/>
  <c r="U88" i="5"/>
  <c r="BF86" i="5"/>
  <c r="AM86" i="5"/>
  <c r="N86" i="5"/>
  <c r="AM74" i="5"/>
  <c r="U74" i="5"/>
  <c r="N74" i="5"/>
  <c r="N68" i="5"/>
  <c r="BN65" i="5"/>
  <c r="BJ65" i="5"/>
  <c r="BF65" i="5"/>
  <c r="AU65" i="5"/>
  <c r="AM65" i="5"/>
  <c r="BF62" i="5"/>
  <c r="U62" i="5"/>
  <c r="N62" i="5"/>
  <c r="AM51" i="5"/>
  <c r="U51" i="5"/>
  <c r="N51" i="5"/>
  <c r="AM47" i="5"/>
  <c r="AM46" i="5"/>
  <c r="AM45" i="5"/>
  <c r="AM44" i="5"/>
  <c r="N44" i="5"/>
  <c r="AM43" i="5"/>
  <c r="AM42" i="5"/>
  <c r="BN39" i="5"/>
  <c r="BJ39" i="5"/>
  <c r="BF39" i="5"/>
  <c r="AU38" i="5"/>
  <c r="AM38" i="5"/>
  <c r="BF36" i="5"/>
  <c r="U36" i="5"/>
  <c r="N36" i="5"/>
  <c r="BB24" i="5"/>
  <c r="AT24" i="5"/>
  <c r="AM24" i="5"/>
  <c r="AF24" i="5"/>
  <c r="Y24" i="5"/>
  <c r="R24" i="5"/>
  <c r="K24" i="5"/>
  <c r="D24" i="5"/>
  <c r="BG11" i="5"/>
  <c r="AO11" i="5"/>
  <c r="U11" i="5"/>
  <c r="C11" i="5"/>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<sst xmlns="http://schemas.openxmlformats.org/spreadsheetml/2006/main" count="2805" uniqueCount="85">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</sst>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31">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cellXfs>
  <cellStyles count="1">
    <cellStyle name="標準" xfId="0" builtinId="0"/>
  </cellStyles>
  <dxfs count="3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3" Type="http://schemas.openxmlformats.org/officeDocument/2006/relationships/worksheet" Target="worksheets/sheet13.xml" />
  <Relationship Id="rId18" Type="http://schemas.openxmlformats.org/officeDocument/2006/relationships/externalLink" Target="externalLinks/externalLink3.xml" />
  <Relationship Id="rId26" Type="http://schemas.openxmlformats.org/officeDocument/2006/relationships/externalLink" Target="externalLinks/externalLink11.xml" />
  <Relationship Id="rId3" Type="http://schemas.openxmlformats.org/officeDocument/2006/relationships/worksheet" Target="worksheets/sheet3.xml" />
  <Relationship Id="rId21" Type="http://schemas.openxmlformats.org/officeDocument/2006/relationships/externalLink" Target="externalLinks/externalLink6.xml" />
  <Relationship Id="rId34" Type="http://schemas.openxmlformats.org/officeDocument/2006/relationships/calcChain" Target="calcChain.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externalLink" Target="externalLinks/externalLink2.xml" />
  <Relationship Id="rId25" Type="http://schemas.openxmlformats.org/officeDocument/2006/relationships/externalLink" Target="externalLinks/externalLink10.xml" />
  <Relationship Id="rId33"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externalLink" Target="externalLinks/externalLink1.xml" />
  <Relationship Id="rId20" Type="http://schemas.openxmlformats.org/officeDocument/2006/relationships/externalLink" Target="externalLinks/externalLink5.xml" />
  <Relationship Id="rId29" Type="http://schemas.openxmlformats.org/officeDocument/2006/relationships/externalLink" Target="externalLinks/externalLink14.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24" Type="http://schemas.openxmlformats.org/officeDocument/2006/relationships/externalLink" Target="externalLinks/externalLink9.xml" />
  <Relationship Id="rId32" Type="http://schemas.openxmlformats.org/officeDocument/2006/relationships/styles" Target="styles.xml" />
  <Relationship Id="rId5" Type="http://schemas.openxmlformats.org/officeDocument/2006/relationships/worksheet" Target="worksheets/sheet5.xml" />
  <Relationship Id="rId15" Type="http://schemas.openxmlformats.org/officeDocument/2006/relationships/worksheet" Target="worksheets/sheet15.xml" />
  <Relationship Id="rId23" Type="http://schemas.openxmlformats.org/officeDocument/2006/relationships/externalLink" Target="externalLinks/externalLink8.xml" />
  <Relationship Id="rId28" Type="http://schemas.openxmlformats.org/officeDocument/2006/relationships/externalLink" Target="externalLinks/externalLink13.xml" />
  <Relationship Id="rId10" Type="http://schemas.openxmlformats.org/officeDocument/2006/relationships/worksheet" Target="worksheets/sheet10.xml" />
  <Relationship Id="rId19" Type="http://schemas.openxmlformats.org/officeDocument/2006/relationships/externalLink" Target="externalLinks/externalLink4.xml" />
  <Relationship Id="rId31" Type="http://schemas.openxmlformats.org/officeDocument/2006/relationships/theme" Target="theme/theme1.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 Id="rId22" Type="http://schemas.openxmlformats.org/officeDocument/2006/relationships/externalLink" Target="externalLinks/externalLink7.xml" />
  <Relationship Id="rId27" Type="http://schemas.openxmlformats.org/officeDocument/2006/relationships/externalLink" Target="externalLinks/externalLink12.xml" />
  <Relationship Id="rId30" Type="http://schemas.openxmlformats.org/officeDocument/2006/relationships/externalLink" Target="externalLinks/externalLink15.xml" />
  <Relationship Id="rId8" Type="http://schemas.openxmlformats.org/officeDocument/2006/relationships/worksheet" Target="worksheets/sheet8.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DA21C4A-2806-4780-AF24-61F8DD5A83E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46D7D74-1976-4918-9EA8-462E37F3DA7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8F85AE0-196B-4F4F-9237-7160297C37F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768CE92-8021-419D-B871-3686E82C236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C7F02FD-F426-43C7-8B35-46AC420483BD}"/>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AEE0C42-99BE-44CD-B4B1-74251917E37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CAF817CD-7560-46BE-861B-FE98C9E46B0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4DE3E46-84C4-4BAE-AA93-84B145E0694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138ABE1C-83E3-4F8F-944C-8D993E355E3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0C887E2-A7BC-40B5-9B64-E33E10D9B3C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9AF6848-CB9E-4C0C-A307-4B74A3B9892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5EC54DDB-948F-4990-AF0E-A1551A5D823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FC77DA6-F55E-4009-8B1A-06B31906930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E859C31E-866B-496A-BC49-0B1B97A80409}"/>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9B764A97-868E-4483-9211-E7BE841E4154}"/>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4DBEC43-6D0B-4529-B436-E7983A8A9DF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063ADF9-D6FD-4B89-B967-2D72C59E672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A231860D-672B-45F8-B8A5-20BE2A8A9043}"/>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22DC42F2-33D7-48F4-B6DA-2BD477DBCFB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693089E-6B17-4CD0-81CA-79BB48DD08C0}"/>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B37EC8F-09D6-4A0E-9A86-8FAD8D30E942}"/>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0430BA8-1E5D-4C12-9948-0811BB908FB8}"/>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6F6EA7E-3FB1-4E26-B212-8CF036922B0C}"/>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0DC2F96-07C9-4CD4-A68F-238B329CCA4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EDA1E6A-0941-4E28-98BC-C0E090DCC72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5D60182-8AD2-4C7B-8797-7B4BB09493C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01260A1-150B-4A7F-B338-81EC7222F8A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B4F8131-4D71-4000-9607-98021B28446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2063A0F9-DAB5-4B71-9A8E-A8BE962EA79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069EEB5-9285-4FF5-8B81-77F7A980D7E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72787B6-81EC-472B-B83C-D4D14515570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13CEAE8-0C19-40B2-8EFA-D8279EFF90C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D5E5DAA-933A-4379-ACAA-0D63100D102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B67901F-DB03-4CB2-97F5-D35618E26EB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76455CA-1883-495A-A637-E524246316EC}"/>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3E3B584-FB02-4491-818A-A36136BF5CC7}"/>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3DBBF38-20C9-4C2B-8C25-E3F95C9C2965}"/>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077DEF4-6DFC-4954-9492-20DAECE930A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51EFD2DF-EDCE-42BB-B12A-30D2E747055F}"/>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8375DF6-CC12-406E-90D7-E9F01A7A7AA0}"/>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2ECABB90-6490-458C-AF32-733479613B3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70E382A-7A8C-4452-AE6F-C32665A8279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69FCA70-3B2B-44F6-B31B-F9D9FD2308AF}"/>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952D2145-3A6E-4EE4-96A2-83B87C13D83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1507719-B419-4A7E-8113-AEFFCC22C7EF}"/>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25C81E0-DB04-4E36-AF6A-A8BEA8417F2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8FF5CB6D-499A-4966-8A7E-325936B5B75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7EDDC2A5-A5CE-4521-843A-E79969C2AF7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138F44A-0C13-49E9-9491-6E32A0E2FEF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F37AB8A-B60D-4D59-9A5C-9F66A4F7519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1172F02-4BC4-43AA-91E2-0219CFCEB69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D9C6314-7685-4E39-B7BD-DA4780E0AC45}"/>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342A9FC3-4D03-4E8F-846B-C152B6835CA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1F55215-44EA-46B2-8CD7-7EAD1166AE85}"/>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283C530B-D236-42EE-A140-FF6EB2B13F27}"/>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E9EB8FA-C246-42B1-9072-079F5A514F0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F46B31C-C748-4E7F-BBDD-4E11BF6AE4FC}"/>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D77B6B6E-23BB-47A3-96D0-5E278AED5A0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28FEB6F-4963-44FC-87E5-0F9A60C1625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CCDE3F2-69CC-4D84-B55C-F59A7173DE53}"/>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24D0449-65E8-46DC-8245-C4B88034AB29}"/>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B29F44D-562B-441D-A01F-97316EE900A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D09E816-FE23-4ED2-857C-5CE464D8E31B}"/>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C6BEC98-3E53-45C9-97A7-27C8DA92B9BC}"/>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15B8E5D-8D1B-4612-8923-9C9609A7D00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29CBCB8-6FB6-41AA-8D5C-74AE194D04D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ABA10DB9-8F79-4926-8FD6-3A10640BA4A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FD24985C-520F-4481-A711-C439B48278B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6F51A405-6776-4B2B-957C-20681D99207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687B38C-F80F-474C-8262-9BEF16BC552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6D6CEA3-4737-4B17-9DCC-E68F1ED98FA5}"/>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27D6E00F-A66C-45B4-9357-1264E78AF7B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16FFD22-FF8A-4F11-8F08-495BF2F9B4DF}"/>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EBCD06D-16C8-4D6A-A3FE-2EC507D73A7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03131CDC-E314-415E-96E4-9A542A45CF2C}"/>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153ABD2-FEF7-4AE3-822E-DBC58B616E9B}"/>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137C29CD-FFBC-4187-9C79-4953CCB64DF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E20E9DC-87AC-464D-88B1-5B06CF7D2E2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3E90FC0-D0DD-4BF2-B4C5-A71734051F3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7AF2D380-AFC1-4B2A-A3F4-F7D422EA084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F9B6769-6DC9-47E1-A6A9-65CBE1DC5E4C}"/>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1650FA6-DEE4-47A6-8AFF-32A1C95699E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5894E7D-34FD-4136-92F0-94FE4666691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B8BC7BC-0832-4ECE-A2C3-6E17948C67E5}"/>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7FFB145-A78C-4DF3-937F-02C7C1DC9445}"/>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6AB0EAF-674E-4EAF-884C-C0AE82E51F91}"/>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522659F-EFBB-48A8-BF35-15A4C32038FD}"/>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6DB6F110-F8FB-4614-8CD3-12CE28E605C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D780AAD-126F-44D4-BD6E-5BC81D14DA8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C794E8D-CF85-4AD1-A2D6-ED49607ECA8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56042263-E40A-49AF-823B-BCAEED9602E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9ABC7D2B-5776-487A-AC5F-F6C0F756791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6BA1D12-B7B1-47CA-BCC7-B8649F27B65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D655BBD-ED22-4EF4-8326-08D274C01DE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98EAD9B-37B6-4E14-9E13-2528249605BE}"/>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7BA2324-CA47-4318-98C7-40679E7FAB04}"/>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1AB7239B-0DC1-43B4-9906-F9CAFE02969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9E794295-D630-43CF-9404-714428C721E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8FBF3B61-96A3-4D2B-A5B9-60CBD246438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BE88DECA-333A-4E79-B613-371D87EAEC97}"/>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B4A00EC-ACCF-4C16-8FDB-629C4620751A}"/>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2C1CB98-04DF-455D-8D60-83DD897F24A9}"/>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7D4F36F-D02B-4B3C-89D8-803A2D0BC16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0AB9F2C-252C-47B5-80CD-EC0C6A29D564}"/>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FBEA9F2A-D125-4E2A-941F-B36D8958988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4AE7B3F0-5771-4042-9006-C1FE40A5164F}"/>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A9EE6EDC-0B7F-40B4-B68C-2BBDD91B220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72BCE4B-8F83-4E6F-80DA-755B5A91283F}"/>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A048A7DF-7715-4168-AD4E-DCD54322E7C7}"/>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59AA316-4344-461A-8286-D2FC75A771D6}"/>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40614FD7-91A9-4B7C-AEBE-166F8C423650}"/>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E82C64D-2178-4016-88F6-4ADCEFEC5C3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3FF1FB1-C3FF-4CEF-BA89-9039C39B0DC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22167FB-1599-417D-9642-883909AB532A}"/>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002C002-53D5-4E20-B02C-8711739EE947}"/>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23D26DD-8B3B-4DF1-AE92-86055A08EEC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117E467-89BE-4876-9D62-C4B7F6538DD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0339770-C8FE-4EC1-8AE0-0C944CABD9CA}"/>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C9C2312C-4701-4AF4-9BD9-1732C9477419}"/>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FF395E3-6866-440B-92E4-AEAC37C8338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BC05122-6C10-4D61-8D09-11E63EA9EED1}"/>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78DB0A2C-5E66-498B-AE8B-D64E45A500C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5B5F98BA-FF3A-40B9-B10E-FE01386889A3}"/>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8183350-3CB7-4A2D-A5D8-3F884D48949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97DF10E1-4A8F-45BB-9B66-2EFB82A43058}"/>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F26B215-97EE-4AB7-8D61-0886A689F57E}"/>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BFBE838-2A3E-44B3-A343-9BC304F3491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93FF668-B590-4E00-B52D-CD976AAA1416}"/>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F90641E1-F5D0-4B87-A594-16AC2B9D9056}"/>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E555CF80-6649-4DE0-ADE2-F210132F69C8}"/>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F3291A5-AD1D-4677-87F5-A960EA52AB8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31FF065-4730-46B5-83A6-977828A8B87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51DC5D46-6998-4031-99BA-3C288BF7CD79}"/>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55D45162-03B1-400C-A8F2-DA6A0FA9949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0C92A1B-BB1A-4300-97E6-A099FDEB6217}"/>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B418567B-341D-4325-9D4C-37796E4FEF8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28F6A3CB-CCE9-4D2C-9B54-09E5484FB08B}"/>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1369F59-0A9C-4CD7-8BD8-0C9F303D766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33A43B3-29D4-449C-9BDD-B8716F48ADE1}"/>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2E47990-6AE3-4F0A-A067-3CDB6B0A773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ED652FBE-3DDC-4B99-B267-B2C50CE0A134}"/>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AB43DBC-D3A0-4E4D-B1BD-3DB27B43A32F}"/>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5813A418-60E0-46CE-8D61-2BFD924FDCB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69EA744-A59F-4173-A119-A9ED5F12FA82}"/>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B964021E-6A46-4EB7-B280-057F7F6B6005}"/>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31C6A65C-D050-472F-AB6F-200E3099BED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49E43BC-EAF0-4118-856B-5D4ED4D914F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8AC18F9-4222-4E76-A539-86581B110D3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B41A1C72-6B54-4165-A647-8EE713F48C57}"/>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B1368A6-5932-4901-8776-8F56801FB71B}"/>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07F3DB8-F514-4E82-8B7C-DCD0ABF5FDF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B1A70F9-DD3E-497F-AA64-D02A1A6DFDB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3135338-A6EF-4524-83E0-C4B80FF4E003}"/>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253A22B-8D16-4E06-9DA3-26ADD1B0222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9FB5B69B-A351-4984-ADAB-BC65595EE94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E0140AE-9F5E-477C-B924-46470A4C6E5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0EE86928-9A6D-4402-AB88-5A778CA57906}"/>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CD5C99EC-775B-4F3A-9E97-CC8E70C29308}"/>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87FB6899-59A3-4C3D-825A-0970616750E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EB8974F4-33B9-4BB7-AD03-5AA09E89FEC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89B75CD4-966B-4735-BD1B-E5D84241946A}"/>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0D87D62-C14A-49B3-9679-B5BA61E3C1F7}"/>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293EBBF-480C-4688-B720-185B0474FCF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3A376C0E-39DA-414A-9FE5-219825C6218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A382B24-01DB-446C-93B1-229800DE0BFB}"/>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D6F62A7B-D6E4-4192-94B8-7334B8EFD056}"/>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B693F21-31E6-4EC3-8CB7-E10809C524AE}"/>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BD4A693A-FA02-493F-A64C-F1DAEDCEACE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F6A1F38F-0917-4124-9FE3-66BA571DEBFF}"/>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43AEC66E-E62A-4CC8-B9CC-A8FFCD0B81E3}"/>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7B191DC-5F1F-4BBD-8935-341941B3C73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0BE0F93-2136-4D0E-A7D1-77E4912433E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B869451C-AB76-45CB-B41C-E1515CA6ADD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21344227-99BC-49DC-B292-7AE74485A1CF}"/>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AC856625-B9C8-40A8-B0A4-845EBCAF8CE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2B0EF88-1C3A-4FBB-B720-624840ECABD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442B78-BDD7-4173-8C04-2F7BD6D1E4E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7914041-0ECA-4E5D-BA44-2AD0D31D7A67}"/>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1E8B24C2-7816-419E-ACAC-55AEEF41437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15C8ABA7-744B-46AC-826B-FDCFA5757FB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2CFC71A6-EC57-4412-B78E-A08BEFE551C3}"/>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95829EB-76F4-4EB1-88A9-486D7E05DBB8}"/>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8B67CDD7-BDC0-4A55-9118-40302B59111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98F7316-C25D-415F-A117-8C4F0EF8273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28168A7-F45D-4271-9B61-155663CC0B7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E2C10C1D-6842-4656-BEE8-830F94FD6A5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B0569D87-BEB5-470D-9275-38E30BCE366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9785AFC-459A-440F-ADC1-6A883757A05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B0B95DF-FBD0-4716-BF45-D479B52FC7F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7D90D41-E6EB-41EA-B9D9-AD259C994E6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DD2E8F8-C3A1-42E1-B2ED-BBD1F3D6ADA3}"/>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C1653B5-6EBF-4DCB-B347-F5CDE86B88BC}"/>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7E36307-E753-4E0F-84D2-EE5826E09F1D}"/>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6CB5997-78FE-45B7-AEA4-C30137F649FB}"/>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C0353A8-C770-4CF4-8F13-97E0778923E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CBC51812-FC20-4B3D-8546-0ACA1EBE96E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6C7E1D77-E9C3-4054-9975-BA08D859AAB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3DEBC651-250E-4FD3-96D6-B0D860633512}"/>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7C4D7E82-B548-47BC-A12A-781C83CD7E5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96149B6-CFA9-4755-AB56-6F4E6136E6DA}"/>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AF8DCA6-AF1A-475C-A32F-0703C51A6F4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09F0D4A-9BB4-418A-BF8B-E9E919642388}"/>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4CF3E81-45E7-4172-A75A-C4AB3B11998F}"/>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B481D00-AAD3-4A2A-8651-BF030BBC6C8E}"/>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6002D41-7713-4684-8869-C7F0088DC0B5}"/>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0844B31-0DC2-4B05-B9D7-26834B3CDEF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F8A5E949-6CEE-4E7D-B876-32CCFFFE257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39312C2-8ADD-484B-803C-9B795614FF6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0715E46-550C-4EE9-A815-8084C00DC04F}"/>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D188E2D7-534B-44B6-812D-7B086F7AF94D}"/>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BA02317-5F79-47A9-98BE-59C017CED272}"/>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D1FDFCC4-2F3E-40F6-B530-88C706C80F82}"/>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53DD23F-4D15-4AAC-98AF-77637A5E82A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4B8649AD-117B-49F0-BAC5-76BE75DDFEB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1E528A23-C500-4C3D-A2D7-43CC1A11EA3A}"/>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FBC0C85E-30D8-4AE6-8C77-2F541C97DAFE}"/>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239FAF21-9397-4DB9-911F-58716A6CCF0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3A6EA00-622B-4382-8185-D6245DD1C770}"/>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ECF256C1-0BF8-48C8-B12E-BAB615A2BA81}"/>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51CD3E72-C5E0-4917-9267-B4E6A10417CA}"/>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92A6B56D-3798-4DC3-86C4-7D605F98EFA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A2CCACB-4224-4A8A-A78E-9AA0D058D433}"/>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905E4E6-3F26-4FAE-93A5-197135A41BC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0FC38A1B-C303-409C-A903-C4BD193598A0}"/>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08B5C8C-7FDB-4790-914B-730C3C40280E}"/>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57943D11-7CF1-4196-B887-DB9E1B2DFE49}"/>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08D1D86-B053-48ED-B451-62713B1F557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46042DC2-BEB4-4D43-9316-B6C8DC54C204}"/>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CA579E8C-6145-45A0-83F8-211F648EBBF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6CA9BB5-B072-4B01-95CE-ACA205994652}"/>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61C331E8-5B5C-4B9E-91BA-447D1A1ABD0E}"/>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D3BCD73-65BA-4378-9C87-63C96FF3EF5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ECD5D0C3-97E9-4FA9-8958-02E092D5668A}"/>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9ACA0F8D-BBF6-43AB-8030-CD659F7548D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11DFB23-FEFC-4ECD-ADFF-E41370C8EEE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DC65AE9-F950-4287-B5BE-49863685C4D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C9770541-8799-478A-AA97-C01B626E792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0F492209-6186-4B06-A45F-7D4F799CC073}"/>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B73873F-D323-452E-BDDC-78AE49DE1A70}"/>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F69E845F-8155-4FC0-977C-FF6F3BF77BCF}"/>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F5C8C21-7B9C-45C8-91EB-074285998A58}"/>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26B66EF-E8DA-41C7-B811-874A8A5CD55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7C9FF49A-774B-4106-AD35-7EE43B863AF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3E54EEFD-39E6-4C09-AB38-B53AA34C41B6}"/>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8CE178EC-63D7-4678-94EE-9C592F74E186}"/>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F14AC461-C07A-416A-8236-295B0319C59D}"/>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46A1CD7C-DAF4-41D1-9D26-B31643E483E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E2F7DA6E-0DBB-43F4-825B-9FE355A488E4}"/>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AE2C4FC-2191-43A7-91F5-AF2CB622F4A3}"/>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243AE5E-F245-4D44-8378-F7B5ABF0C0F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8E139FD-A4BE-4EDC-B92F-D2EAE3AC2F11}"/>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DA276B2-EF22-4455-ADF7-623646BD114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47336ED-F8A0-4850-9D75-25CD1C7E479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DA896EBA-29C2-488B-A1D1-178A6690DAB0}"/>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AA23FAF3-4595-4147-878F-DF2BF5682D5F}"/>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E0E3E119-F03E-492C-B466-3A8828659276}"/>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4DD6E7B9-9017-4752-B4A7-0374EFF3D6FB}"/>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B9CD3279-16F4-44DD-911B-9205CD4C929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71954B06-FB36-42A2-8AC9-8CAF5F074086}"/>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A774916F-C39C-4D26-8927-955C89131EE2}"/>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D3CB261-4634-40F9-9130-4610837F1185}"/>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FC8F3C8-F6CA-4B8C-9D77-8DFEB60CE30C}"/>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E1A22934-7F50-4709-8D2D-FB737CC04F06}"/>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08413F81-A7D1-48B4-90F0-2A582FD753A5}"/>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D6D19D54-9C89-413F-BB5D-E701AE2334D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95111D15-C425-4096-9A9B-118A812DA75B}"/>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E16785AF-9977-42FD-81CC-B2CED5BF7227}"/>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B556805-49AF-460F-9CC1-21EE195634A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76AB30D-0B74-47D2-B553-F7909DF04E6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AA858782-3D74-46CB-B83B-7788AADA561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0ECFC1B2-22B3-453A-A064-78FD8C27F23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C89FF21-C256-4E05-92AD-DE615D742C8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03006A1-C794-4C16-ADEB-D5BED9D6BE26}"/>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5A69D137-3B9B-4E37-A55F-229BEAECE60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3C055E56-B678-4530-8FD0-4C3B344399A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0A0D6B2-1E96-402C-982B-BDEA2FE7F15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847535D-91FE-400C-9C01-577ADD89D953}"/>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951EB4F-CA9B-4114-AB41-609E39C25F4B}"/>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3BB2608C-38A6-431A-9C64-3F49587CDEA2}"/>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DA0641E-487B-41F5-A4A4-7F916D7C44AA}"/>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D8E32B3C-4F93-4661-8121-0C8A7ADC871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5150A6D7-F284-4ECF-824E-4E013E5CFDC3}"/>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26A4457-7D27-4EB8-87E6-AB7471A305E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FE4C7F97-4F11-415B-BC7F-A0808EEB1CC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653BA42-CFB9-49E0-A7B4-4FC64E785D5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D8C6ABD2-F7E3-4D1B-A474-F2602AB7110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6715236F-40EA-4D4E-B559-D2AA5B7EAE3A}"/>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C946310E-93F8-4A82-AFF9-F1C796CB8424}"/>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43DA512-16EF-4AC4-940F-7CC5EA832C84}"/>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EBC52C77-E516-4F29-BDED-0CBC3DAE334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88CFA133-B9D0-4086-A983-4420C9E3108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E6D86F2-711A-43E2-A90B-A2610ACBF880}"/>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3E415CBD-7E8C-4838-81BB-335A7AE57586}"/>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BA2AC407-72E0-4D29-9DED-FA13DB027D08}"/>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2A926A8-FB02-4068-BF36-29A6CF76023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DCE1A8CE-8819-4D9E-828A-C33BBC32C85E}"/>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35D3287-7839-4AD2-BF36-6B243D1BF6C0}"/>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FD4D3A00-9BA5-4584-A33E-EC12C80063B1}"/>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EBCA4025-FEA8-41F5-A605-B456D95D88CB}"/>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A72DC0C-ECDC-4949-A7FD-4406C826F53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D2837A-A3CB-40ED-95CD-FFC93563005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D4ED01C-1E97-4F73-9536-2D4284D62EF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3D593F9-B59B-4938-B315-040D14B2E3CE}"/>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8D7AABB1-D076-4344-B707-08C020914C9A}"/>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024ABC34-1657-41E4-9ACE-565586CE403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DCED471-BBD7-4361-B9C3-DCB583894740}"/>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60C1708-2E56-4E01-9FF6-941169720894}"/>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3152CAD-F55F-4469-A77E-79581537AAED}"/>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DCF08495-5662-48D7-A965-F52111C53938}"/>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30247114-6F4D-4443-A821-B8A1CA6038CE}"/>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20536DCF-865C-41F8-AC69-CEB5210956AE}"/>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E3E5727A-D2A3-48BD-9C74-405929AFEADE}"/>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21D085B1-B34C-4A24-9BDF-5DCC94430999}"/>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9DBA0547-3354-451C-955C-E949712759AE}"/>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82BC943F-4EEE-48B9-BEEE-A15C7191FC0D}"/>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42DE542-EE21-4A8E-8BD2-4E895B4ADCFD}"/>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4BB016E0-CB2B-4445-B7D0-763154787A3B}"/>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55EE4EC-A850-4C40-A941-DE4A07871A41}"/>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4097675C-F52E-45E3-8B50-74AF7CB2CAA7}"/>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D2AD07B1-3708-4445-A5FE-265087016C2D}"/>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8656D02-1981-4458-A791-04D3DA57BA58}"/>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5B436DB-9D72-400B-A453-B41CFBA4C2D1}"/>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8133A79F-C4A1-44ED-B279-3954E4EE8BB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906A834-C46B-473C-904B-05E7B4A9C164}"/>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6BFB37E-9389-43EB-B330-C53547811D39}"/>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961BEB5-DDDA-49A6-AB58-356C6ECAF446}"/>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E5CED9E-7323-4855-A761-F7F4F370A01E}"/>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E2AA136-098E-435C-940A-5B252ECAB62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769E883B-967D-44C4-B9DB-305E3E813491}"/>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DCF887DD-D1AC-4551-AA77-0E1B005589FE}"/>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0E76E7CB-9859-4A73-9805-981434B2D237}"/>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2B6AD988-DD1D-424A-88AA-BBA4BE404E15}"/>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43A29CA-CE4F-4239-A059-D5FCBDFE1DE7}"/>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4D3BD2B-B015-453C-BE62-6741DA6DA909}"/>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0FF791BA-D7AB-4933-9333-4DE9F1D66570}"/>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669D87F3-2070-4E1A-BDE7-A9DBD0D65A4C}"/>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5770443-ECE1-4366-9D12-D169587CE5C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89005632-4752-45E2-8D71-EF6EF587A2BE}"/>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A9863D4-FEDB-469F-91F7-89EB67983BF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58E2405A-BF66-4902-BF88-2D6F0CD4617C}"/>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11FD9D7-DC73-4A87-B16B-0757CE4D0C17}"/>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5C68537A-832D-4285-B527-87D8A5C11A15}"/>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0C3D87EA-312B-4A37-8858-1DC32BDA387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06CA4244-616E-44A7-9451-FA19DBF6161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726E3AEB-286E-4018-A520-54889B5609E2}"/>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BD5DF2C8-8DC5-4492-AEA1-4757B7C59E1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547F6EDC-4A09-4C2B-940B-FEDD34B2DC02}"/>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D1112AC-56C5-404A-9692-E4451F18C9C9}"/>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6B347AA6-E3C9-4D92-902F-103320B56FD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13336B01-3AC9-4E0B-ABE5-5FF4A02BF861}"/>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794A5128-50C5-4126-B7C1-76C8748A84BF}"/>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13B2BB8-95E0-4813-AD38-445D290E0DC2}"/>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2D044A74-A738-40D9-998F-B24CCD87881C}"/>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2DD6A05B-F7F8-4C2E-BEAD-6CA2831C459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505E0C0-5E28-4C28-AF0D-2C280DE5258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507EB3F-FD96-4121-A770-1AB349BE3AAA}"/>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90A229EC-9880-43B0-8A4B-A898CF67B66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A5688706-A6B7-4DBD-9794-EC76417CF99E}"/>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CDA792C4-B345-4B60-8DCB-D0FDDBA2CCE4}"/>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C1051059-7C99-4027-BDFE-E509977780B1}"/>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049DEE8-7522-4E6B-B57B-DDD8554E96BF}"/>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F4163958-49F7-435B-B5F9-353EA5959171}"/>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C90B9E9-790E-4DD1-8517-36D00F0B06E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8DB83095-61AB-421C-B8AF-C4EB7C73FE1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45227F79-BE8F-49A6-8A4F-F7FF603EFC18}"/>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481E5256-54D3-477C-A09B-022B684AF9DF}"/>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8B54141B-0BAD-4C4B-BD39-CE8174D7B12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DC0904EA-2D03-4343-8D62-87320BA28235}"/>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BEA05FB-6120-4D91-B54C-81BEE29DB56E}"/>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F10CDB71-DA0E-4EBB-9069-090FEFD31C51}"/>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2CC21E8D-F1AA-4B78-9ABB-88971746FF1A}"/>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C0D6F846-C64E-4261-ABAC-EE5F61E3F744}"/>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2C7A7F3A-92DE-45D5-A5A8-E7E7339F178D}"/>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9A758E30-A3DC-4CD2-AC77-B068AFC95B7E}"/>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76B6EDED-8AE6-420D-9C52-1936A5AEAAF3}"/>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0.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1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6.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7.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8.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9.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　県南地区の水道事業体で構成する『県南地区水道連携推進座談会』に参加している。連携促進に向けた活動組織として、既存施設の見学や先進地視察及び、講師を招いての研修などにより、水道事業体間の相互理解を図ることを目的とし、現在は、事務処理の共同実施や施設の共同利用等、実効性のある広域連携に向けた活動などについて勉強している状況。</v>
          </cell>
        </row>
        <row r="295">
          <cell r="B295" t="str">
            <v>　県南地区は、給水区域が広く施設数が多いことにより、統廃合にかかる多額な整備費用を要することなどが課題となっている。
　今後、秋田県水道ビジョンが策定され、県主導のもとで市町村間の共同管理体制の検討・指導が図られる予定となっている。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観光施設事業</v>
          </cell>
          <cell r="W17" t="str">
            <v>索道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v>
          </cell>
          <cell r="X46" t="str">
            <v>●</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07">
          <cell r="B307" t="str">
            <v>　利用者ニーズに応えるべく、民間ノウハウを活用しより良いサービスの提供を行っている。市との連携により、適正な施設の維持管理及び運営を行っている。</v>
          </cell>
        </row>
        <row r="313">
          <cell r="G313" t="str">
            <v xml:space="preserve"> </v>
          </cell>
          <cell r="U313" t="str">
            <v>平成</v>
          </cell>
          <cell r="X313">
            <v>23</v>
          </cell>
        </row>
        <row r="314">
          <cell r="G314" t="str">
            <v>●</v>
          </cell>
          <cell r="X314">
            <v>12</v>
          </cell>
        </row>
        <row r="315">
          <cell r="X315">
            <v>1</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宅地造成事業</v>
          </cell>
          <cell r="W17" t="str">
            <v>その他造成</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本事業は、市外等からの企業を誘致するために団地を整備し、完成後は、原則、原価主義による販売単価で売却するため、収支均衡で歳入・支出とも限定的であり、現行の経営体制・手法で事業運営が実施できる見込みであるため。
　なお、現在は造成工事施工中で、令和３年度末の完成後、令和４年度から売却予定である。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介護サービス事業</v>
          </cell>
          <cell r="W17" t="str">
            <v>指定介護老人福祉施設</v>
          </cell>
          <cell r="BD17" t="str">
            <v>●</v>
          </cell>
        </row>
        <row r="19">
          <cell r="F19" t="str">
            <v>介護老人福祉施設介護サービス事業特別会計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市立の介護保険施設を法人へ移譲、民営化したことにより、人件費の削減につながった。（人件費35,473千円の減）</v>
          </cell>
        </row>
        <row r="121">
          <cell r="J121" t="str">
            <v>●</v>
          </cell>
          <cell r="S121" t="str">
            <v>平成</v>
          </cell>
          <cell r="V121">
            <v>23</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介護サービス事業</v>
          </cell>
          <cell r="W17" t="str">
            <v>介護老人保健施設</v>
          </cell>
          <cell r="BD17" t="str">
            <v>●</v>
          </cell>
        </row>
        <row r="19">
          <cell r="F19" t="str">
            <v>介護老人保健施設介護サービス事業特別会計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市立の介護保険施設２施設を法人へ移譲、民営化したことにより、施設数の削減が図られた。</v>
          </cell>
        </row>
        <row r="121">
          <cell r="J121" t="str">
            <v>●</v>
          </cell>
          <cell r="S121" t="str">
            <v>平成</v>
          </cell>
          <cell r="V121">
            <v>24</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介護サービス事業</v>
          </cell>
          <cell r="W17" t="str">
            <v>老人短期入所施設</v>
          </cell>
          <cell r="BD17" t="str">
            <v>●</v>
          </cell>
        </row>
        <row r="19">
          <cell r="F19" t="str">
            <v>介護老人福祉施設介護サービス事業特別会計</v>
          </cell>
        </row>
        <row r="43">
          <cell r="R43" t="str">
            <v xml:space="preserve"> </v>
          </cell>
          <cell r="X43" t="str">
            <v xml:space="preserve"> </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市立の介護保険施設４施設を法人へ移譲、民営化したことにより、施設数の削減が図られた。</v>
          </cell>
        </row>
        <row r="121">
          <cell r="J121" t="str">
            <v>●</v>
          </cell>
          <cell r="S121" t="str">
            <v>平成</v>
          </cell>
          <cell r="V121">
            <v>23</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介護サービス事業</v>
          </cell>
          <cell r="W17" t="str">
            <v>老人デイサービスセンター</v>
          </cell>
          <cell r="BD17" t="str">
            <v>●</v>
          </cell>
        </row>
        <row r="19">
          <cell r="F19" t="str">
            <v>老人デイサービス事業特別会計</v>
          </cell>
        </row>
        <row r="43">
          <cell r="R43" t="str">
            <v>●</v>
          </cell>
          <cell r="X43" t="str">
            <v>●</v>
          </cell>
          <cell r="AA43" t="str">
            <v xml:space="preserve"> </v>
          </cell>
          <cell r="AD43" t="str">
            <v xml:space="preserve"> </v>
          </cell>
        </row>
        <row r="44">
          <cell r="R44" t="str">
            <v>●</v>
          </cell>
          <cell r="X44" t="str">
            <v>●</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民営化した介護老人福祉施設の立て替えに伴い、通所介護サービスが併設されたことから事業を廃止した。（管理運営費5,569千円の減）</v>
          </cell>
        </row>
        <row r="65">
          <cell r="G65" t="str">
            <v>●</v>
          </cell>
          <cell r="S65" t="str">
            <v>平成</v>
          </cell>
          <cell r="V65">
            <v>28</v>
          </cell>
        </row>
        <row r="66">
          <cell r="G66" t="str">
            <v xml:space="preserve"> </v>
          </cell>
          <cell r="V66">
            <v>4</v>
          </cell>
        </row>
        <row r="67">
          <cell r="V67">
            <v>1</v>
          </cell>
        </row>
        <row r="71">
          <cell r="O71" t="str">
            <v xml:space="preserve"> </v>
          </cell>
          <cell r="AG71" t="str">
            <v xml:space="preserve"> </v>
          </cell>
        </row>
        <row r="72">
          <cell r="O72" t="str">
            <v xml:space="preserve"> </v>
          </cell>
          <cell r="AG72" t="str">
            <v>●</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15">
          <cell r="B115" t="str">
            <v>管理運営費5,569千円の減</v>
          </cell>
        </row>
        <row r="121">
          <cell r="J121" t="str">
            <v>●</v>
          </cell>
          <cell r="S121" t="str">
            <v>平成</v>
          </cell>
          <cell r="V121">
            <v>28</v>
          </cell>
        </row>
        <row r="122">
          <cell r="J122" t="str">
            <v xml:space="preserve"> </v>
          </cell>
          <cell r="V122">
            <v>4</v>
          </cell>
        </row>
        <row r="123">
          <cell r="V123">
            <v>1</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簡易水道事業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 xml:space="preserve"> </v>
          </cell>
          <cell r="AD45" t="str">
            <v>●</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289">
          <cell r="B289" t="str">
            <v>　県南地区の水道事業体で構成する『県南地区水道連携推進座談会』に参加している。連携促進に向けた活動組織として、既存施設の見学や先進地視察及び、講師を招いての研修などにより、水道事業体間の相互理解を図ることを目的とし、現在は、事務処理の共同実施や施設の共同利用等、実効性のある広域連携に向けた活動などについて勉強している状況。</v>
          </cell>
        </row>
        <row r="295">
          <cell r="B295" t="str">
            <v>　県南地区は、給水区域が広く施設数が多いことにより、統廃合にかかる多額な整備費用を要することなどが課題となっている。
　今後、秋田県水道ビジョンが策定され、県主導のもとで市町村間の共同管理体制の検討・指導が図られる予定となっている。</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病院事業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令和元年度後期から令和２年度前期にかけて、入院患者数の減少により、医業収益が減少したが、診療体制及び新患受付体制の改善により、令和２年度後半は医業収益が大幅に回復した。長期的には人口減少等により入院患者数は減少傾向にあるため、令和２年度は経営改革基本方針を策定し、経営改革に取り組んでいるが、当病院は採算性の低い精神科の単科病院であるため、民間委託という選択肢は現実的ではなく、現在のところ経営改革基本方針には、盛り込まれていない。</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各自治体が個別に行っていた汚泥処理を県の流域下水道を核に広域化・共同化し県南を１単位とした広域集約処理することにより、コストを縮減し将来への負担を軽減する。
　廃棄していた汚泥を資源化することで循環型社会の構築に貢献する。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v>
          </cell>
        </row>
        <row r="274">
          <cell r="Y274" t="str">
            <v xml:space="preserve"> </v>
          </cell>
        </row>
        <row r="275">
          <cell r="Y275" t="str">
            <v xml:space="preserve"> </v>
          </cell>
        </row>
        <row r="278">
          <cell r="B278" t="str">
            <v>令和</v>
          </cell>
          <cell r="E278">
            <v>3</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下水道事業</v>
          </cell>
          <cell r="W17" t="str">
            <v>特定環境保全公共下水道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v>
          </cell>
          <cell r="X45" t="str">
            <v xml:space="preserve"> </v>
          </cell>
          <cell r="AA45" t="str">
            <v>●</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23">
          <cell r="B223" t="str">
            <v>各自治体が個別に行っていた汚泥処理を県の流域下水道を核に広域化・共同化し県南を１単位とした広域集約処理することにより、コストを縮減し将来への負担を軽減する。
　廃棄していた汚泥を資源化することで循環型社会の構築に貢献する。</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v>
          </cell>
        </row>
        <row r="274">
          <cell r="Y274" t="str">
            <v xml:space="preserve"> </v>
          </cell>
        </row>
        <row r="275">
          <cell r="Y275" t="str">
            <v xml:space="preserve"> </v>
          </cell>
        </row>
        <row r="278">
          <cell r="B278" t="str">
            <v>令和</v>
          </cell>
          <cell r="E278">
            <v>3</v>
          </cell>
        </row>
        <row r="279">
          <cell r="E279">
            <v>4</v>
          </cell>
        </row>
        <row r="280">
          <cell r="E280">
            <v>1</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下水道事業</v>
          </cell>
          <cell r="W17" t="str">
            <v>農業集落排水施設</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X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　昨年度、流域下水道への接続工事を発注し、薬師・払田・福田の３処理場は接続を完了した。今年度は神岡東部地域の接続工事を予定している。現時点では、効果額よりも接続に伴う負担金の支出が上回っている状態である。しかし今後は処理場の維持管理費等が不要になるため、長期的視点では費用の削減が見込まれる。</v>
          </cell>
        </row>
        <row r="65">
          <cell r="G65" t="str">
            <v xml:space="preserve"> </v>
          </cell>
          <cell r="S65" t="str">
            <v>令和</v>
          </cell>
          <cell r="V65">
            <v>2</v>
          </cell>
        </row>
        <row r="66">
          <cell r="G66" t="str">
            <v>●</v>
          </cell>
          <cell r="V66">
            <v>4</v>
          </cell>
        </row>
        <row r="67">
          <cell r="V67">
            <v>1</v>
          </cell>
        </row>
        <row r="71">
          <cell r="O71" t="str">
            <v xml:space="preserve"> </v>
          </cell>
          <cell r="AG71" t="str">
            <v>●</v>
          </cell>
        </row>
        <row r="72">
          <cell r="O72" t="str">
            <v xml:space="preserve"> </v>
          </cell>
        </row>
        <row r="73">
          <cell r="O73" t="str">
            <v xml:space="preserve"> </v>
          </cell>
        </row>
        <row r="74">
          <cell r="O74" t="str">
            <v xml:space="preserve"> </v>
          </cell>
        </row>
        <row r="85">
          <cell r="G85" t="str">
            <v xml:space="preserve"> </v>
          </cell>
          <cell r="S85" t="str">
            <v>令和</v>
          </cell>
        </row>
        <row r="86">
          <cell r="G86" t="str">
            <v xml:space="preserve"> </v>
          </cell>
          <cell r="V86" t="str">
            <v xml:space="preserve"> </v>
          </cell>
        </row>
        <row r="87">
          <cell r="V87" t="str">
            <v xml:space="preserve"> </v>
          </cell>
        </row>
        <row r="91">
          <cell r="O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8">
          <cell r="B278" t="str">
            <v>令和</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下水道事業</v>
          </cell>
          <cell r="W17" t="str">
            <v>特定地域排水処理施設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現在、当市において、特定地域排水処理施設の事業については完了しており、市町村設置型の浄化槽の維持管理を行っている。健全な事業運営が実施できているため現行の経営体制・手法で継続していく予定であ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電気事業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大仙市</v>
          </cell>
        </row>
        <row r="17">
          <cell r="F17" t="str">
            <v>電気事業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真木関根地区小水力発電施設の発電事業は令和元年度から開始しており、経営体制・手法を見直すには日が浅く、更に予算規模も少額である。そして、再生可能エネルギーの普及・啓発のため反復的に発電事業を行う目的であることから、現行の経営体制・手法で対応可能と考えている。</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10.xml.rels>&#65279;<?xml version="1.0" encoding="utf-8" standalone="yes"?>
<Relationships xmlns="http://schemas.openxmlformats.org/package/2006/relationships">
  <Relationship Id="rId2" Type="http://schemas.openxmlformats.org/officeDocument/2006/relationships/drawing" Target="../drawings/drawing10.xml" />
  <Relationship Id="rId1" Type="http://schemas.openxmlformats.org/officeDocument/2006/relationships/printerSettings" Target="../printerSettings/printerSettings10.bin"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1.xml" />
  <Relationship Id="rId1" Type="http://schemas.openxmlformats.org/officeDocument/2006/relationships/printerSettings" Target="../printerSettings/printerSettings11.bin"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2.xml" />
  <Relationship Id="rId1" Type="http://schemas.openxmlformats.org/officeDocument/2006/relationships/printerSettings" Target="../printerSettings/printerSettings12.bin"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3.xml" />
  <Relationship Id="rId1" Type="http://schemas.openxmlformats.org/officeDocument/2006/relationships/printerSettings" Target="../printerSettings/printerSettings13.bin" />
</Relationships>
</file>

<file path=xl/worksheets/_rels/sheet14.xml.rels>&#65279;<?xml version="1.0" encoding="utf-8" standalone="yes"?>
<Relationships xmlns="http://schemas.openxmlformats.org/package/2006/relationships">
  <Relationship Id="rId2" Type="http://schemas.openxmlformats.org/officeDocument/2006/relationships/drawing" Target="../drawings/drawing14.xml" />
  <Relationship Id="rId1" Type="http://schemas.openxmlformats.org/officeDocument/2006/relationships/printerSettings" Target="../printerSettings/printerSettings14.bin" />
</Relationships>
</file>

<file path=xl/worksheets/_rels/sheet15.xml.rels>&#65279;<?xml version="1.0" encoding="utf-8" standalone="yes"?>
<Relationships xmlns="http://schemas.openxmlformats.org/package/2006/relationships">
  <Relationship Id="rId2" Type="http://schemas.openxmlformats.org/officeDocument/2006/relationships/drawing" Target="../drawings/drawing15.xml" />
  <Relationship Id="rId1" Type="http://schemas.openxmlformats.org/officeDocument/2006/relationships/printerSettings" Target="../printerSettings/printerSettings15.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6.xml" />
  <Relationship Id="rId1" Type="http://schemas.openxmlformats.org/officeDocument/2006/relationships/printerSettings" Target="../printerSettings/printerSettings6.bin"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7.xml" />
  <Relationship Id="rId1" Type="http://schemas.openxmlformats.org/officeDocument/2006/relationships/printerSettings" Target="../printerSettings/printerSettings7.bin"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8.xml" />
  <Relationship Id="rId1" Type="http://schemas.openxmlformats.org/officeDocument/2006/relationships/printerSettings" Target="../printerSettings/printerSettings8.bin"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9.xml" />
  <Relationship Id="rId1" Type="http://schemas.openxmlformats.org/officeDocument/2006/relationships/printerSettings" Target="../printerSettings/printerSettings9.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5F759-8A51-4F1F-8D88-9F94B0F24E16}">
  <sheetPr>
    <pageSetUpPr fitToPage="1"/>
  </sheetPr>
  <dimension ref="A1:CN315"/>
  <sheetViews>
    <sheetView showZeros="0" tabSelected="1"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大仙市</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68.25" customHeight="1" x14ac:dyDescent="0.4">
      <c r="C98" s="101"/>
      <c r="D98" s="194" t="s">
        <v>33</v>
      </c>
      <c r="E98" s="194"/>
      <c r="F98" s="194"/>
      <c r="G98" s="194"/>
      <c r="H98" s="194"/>
      <c r="I98" s="194"/>
      <c r="J98" s="194"/>
      <c r="K98" s="194"/>
      <c r="L98" s="194"/>
      <c r="M98" s="213"/>
      <c r="N98" s="130" t="str">
        <f>IF([1]回答表!F17="水道事業",IF([1]回答表!AD45="●","●",""),"")</f>
        <v>●</v>
      </c>
      <c r="O98" s="131"/>
      <c r="P98" s="131"/>
      <c r="Q98" s="132"/>
      <c r="R98" s="119"/>
      <c r="S98" s="119"/>
      <c r="T98" s="119"/>
      <c r="U98" s="313" t="str">
        <f>IF([1]回答表!F17="水道事業",IF([1]回答表!AD45="●",[1]回答表!B289,""),"")</f>
        <v>　県南地区の水道事業体で構成する『県南地区水道連携推進座談会』に参加している。連携促進に向けた活動組織として、既存施設の見学や先進地視察及び、講師を招いての研修などにより、水道事業体間の相互理解を図ることを目的とし、現在は、事務処理の共同実施や施設の共同利用等、実効性のある広域連携に向けた活動などについて勉強している状況。</v>
      </c>
      <c r="V98" s="314"/>
      <c r="W98" s="314"/>
      <c r="X98" s="314"/>
      <c r="Y98" s="314"/>
      <c r="Z98" s="314"/>
      <c r="AA98" s="314"/>
      <c r="AB98" s="314"/>
      <c r="AC98" s="314"/>
      <c r="AD98" s="314"/>
      <c r="AE98" s="314"/>
      <c r="AF98" s="314"/>
      <c r="AG98" s="314"/>
      <c r="AH98" s="314"/>
      <c r="AI98" s="314"/>
      <c r="AJ98" s="315"/>
      <c r="AK98" s="183"/>
      <c r="AL98" s="183"/>
      <c r="AM98" s="313" t="str">
        <f>IF([1]回答表!F17="水道事業",IF([1]回答表!AD45="●",[1]回答表!B295,""),"")</f>
        <v>　県南地区は、給水区域が広く施設数が多いことにより、統廃合にかかる多額な整備費用を要することなどが課題となっている。
　今後、秋田県水道ビジョンが策定され、県主導のもとで市町村間の共同管理体制の検討・指導が図られる予定となっている。</v>
      </c>
      <c r="AN98" s="314"/>
      <c r="AO98" s="314"/>
      <c r="AP98" s="314"/>
      <c r="AQ98" s="314"/>
      <c r="AR98" s="314"/>
      <c r="AS98" s="314"/>
      <c r="AT98" s="314"/>
      <c r="AU98" s="314"/>
      <c r="AV98" s="314"/>
      <c r="AW98" s="314"/>
      <c r="AX98" s="314"/>
      <c r="AY98" s="314"/>
      <c r="AZ98" s="314"/>
      <c r="BA98" s="314"/>
      <c r="BB98" s="314"/>
      <c r="BC98" s="314"/>
      <c r="BD98" s="314"/>
      <c r="BE98" s="314"/>
      <c r="BF98" s="314"/>
      <c r="BG98" s="314"/>
      <c r="BH98" s="314"/>
      <c r="BI98" s="314"/>
      <c r="BJ98" s="314"/>
      <c r="BK98" s="314"/>
      <c r="BL98" s="314"/>
      <c r="BM98" s="314"/>
      <c r="BN98" s="314"/>
      <c r="BO98" s="314"/>
      <c r="BP98" s="314"/>
      <c r="BQ98" s="315"/>
      <c r="BR98" s="112"/>
    </row>
    <row r="99" spans="1:71" ht="68.25" customHeight="1" x14ac:dyDescent="0.4">
      <c r="C99" s="101"/>
      <c r="D99" s="194"/>
      <c r="E99" s="194"/>
      <c r="F99" s="194"/>
      <c r="G99" s="194"/>
      <c r="H99" s="194"/>
      <c r="I99" s="194"/>
      <c r="J99" s="194"/>
      <c r="K99" s="194"/>
      <c r="L99" s="194"/>
      <c r="M99" s="213"/>
      <c r="N99" s="144"/>
      <c r="O99" s="145"/>
      <c r="P99" s="145"/>
      <c r="Q99" s="146"/>
      <c r="R99" s="119"/>
      <c r="S99" s="119"/>
      <c r="T99" s="119"/>
      <c r="U99" s="316"/>
      <c r="V99" s="317"/>
      <c r="W99" s="317"/>
      <c r="X99" s="317"/>
      <c r="Y99" s="317"/>
      <c r="Z99" s="317"/>
      <c r="AA99" s="317"/>
      <c r="AB99" s="317"/>
      <c r="AC99" s="317"/>
      <c r="AD99" s="317"/>
      <c r="AE99" s="317"/>
      <c r="AF99" s="317"/>
      <c r="AG99" s="317"/>
      <c r="AH99" s="317"/>
      <c r="AI99" s="317"/>
      <c r="AJ99" s="318"/>
      <c r="AK99" s="183"/>
      <c r="AL99" s="183"/>
      <c r="AM99" s="316"/>
      <c r="AN99" s="317"/>
      <c r="AO99" s="317"/>
      <c r="AP99" s="317"/>
      <c r="AQ99" s="317"/>
      <c r="AR99" s="317"/>
      <c r="AS99" s="317"/>
      <c r="AT99" s="317"/>
      <c r="AU99" s="317"/>
      <c r="AV99" s="317"/>
      <c r="AW99" s="317"/>
      <c r="AX99" s="317"/>
      <c r="AY99" s="317"/>
      <c r="AZ99" s="317"/>
      <c r="BA99" s="317"/>
      <c r="BB99" s="317"/>
      <c r="BC99" s="317"/>
      <c r="BD99" s="317"/>
      <c r="BE99" s="317"/>
      <c r="BF99" s="317"/>
      <c r="BG99" s="317"/>
      <c r="BH99" s="317"/>
      <c r="BI99" s="317"/>
      <c r="BJ99" s="317"/>
      <c r="BK99" s="317"/>
      <c r="BL99" s="317"/>
      <c r="BM99" s="317"/>
      <c r="BN99" s="317"/>
      <c r="BO99" s="317"/>
      <c r="BP99" s="317"/>
      <c r="BQ99" s="318"/>
      <c r="BR99" s="112"/>
    </row>
    <row r="100" spans="1:71" ht="68.25" customHeight="1" x14ac:dyDescent="0.4">
      <c r="C100" s="101"/>
      <c r="D100" s="194"/>
      <c r="E100" s="194"/>
      <c r="F100" s="194"/>
      <c r="G100" s="194"/>
      <c r="H100" s="194"/>
      <c r="I100" s="194"/>
      <c r="J100" s="194"/>
      <c r="K100" s="194"/>
      <c r="L100" s="194"/>
      <c r="M100" s="213"/>
      <c r="N100" s="144"/>
      <c r="O100" s="145"/>
      <c r="P100" s="145"/>
      <c r="Q100" s="146"/>
      <c r="R100" s="119"/>
      <c r="S100" s="119"/>
      <c r="T100" s="119"/>
      <c r="U100" s="316"/>
      <c r="V100" s="317"/>
      <c r="W100" s="317"/>
      <c r="X100" s="317"/>
      <c r="Y100" s="317"/>
      <c r="Z100" s="317"/>
      <c r="AA100" s="317"/>
      <c r="AB100" s="317"/>
      <c r="AC100" s="317"/>
      <c r="AD100" s="317"/>
      <c r="AE100" s="317"/>
      <c r="AF100" s="317"/>
      <c r="AG100" s="317"/>
      <c r="AH100" s="317"/>
      <c r="AI100" s="317"/>
      <c r="AJ100" s="318"/>
      <c r="AK100" s="183"/>
      <c r="AL100" s="183"/>
      <c r="AM100" s="316"/>
      <c r="AN100" s="317"/>
      <c r="AO100" s="317"/>
      <c r="AP100" s="317"/>
      <c r="AQ100" s="317"/>
      <c r="AR100" s="317"/>
      <c r="AS100" s="317"/>
      <c r="AT100" s="317"/>
      <c r="AU100" s="317"/>
      <c r="AV100" s="317"/>
      <c r="AW100" s="317"/>
      <c r="AX100" s="317"/>
      <c r="AY100" s="317"/>
      <c r="AZ100" s="317"/>
      <c r="BA100" s="317"/>
      <c r="BB100" s="317"/>
      <c r="BC100" s="317"/>
      <c r="BD100" s="317"/>
      <c r="BE100" s="317"/>
      <c r="BF100" s="317"/>
      <c r="BG100" s="317"/>
      <c r="BH100" s="317"/>
      <c r="BI100" s="317"/>
      <c r="BJ100" s="317"/>
      <c r="BK100" s="317"/>
      <c r="BL100" s="317"/>
      <c r="BM100" s="317"/>
      <c r="BN100" s="317"/>
      <c r="BO100" s="317"/>
      <c r="BP100" s="317"/>
      <c r="BQ100" s="318"/>
      <c r="BR100" s="112"/>
    </row>
    <row r="101" spans="1:71" ht="68.25" customHeight="1" x14ac:dyDescent="0.4">
      <c r="C101" s="101"/>
      <c r="D101" s="194"/>
      <c r="E101" s="194"/>
      <c r="F101" s="194"/>
      <c r="G101" s="194"/>
      <c r="H101" s="194"/>
      <c r="I101" s="194"/>
      <c r="J101" s="194"/>
      <c r="K101" s="194"/>
      <c r="L101" s="194"/>
      <c r="M101" s="213"/>
      <c r="N101" s="154"/>
      <c r="O101" s="155"/>
      <c r="P101" s="155"/>
      <c r="Q101" s="156"/>
      <c r="R101" s="119"/>
      <c r="S101" s="119"/>
      <c r="T101" s="119"/>
      <c r="U101" s="319"/>
      <c r="V101" s="320"/>
      <c r="W101" s="320"/>
      <c r="X101" s="320"/>
      <c r="Y101" s="320"/>
      <c r="Z101" s="320"/>
      <c r="AA101" s="320"/>
      <c r="AB101" s="320"/>
      <c r="AC101" s="320"/>
      <c r="AD101" s="320"/>
      <c r="AE101" s="320"/>
      <c r="AF101" s="320"/>
      <c r="AG101" s="320"/>
      <c r="AH101" s="320"/>
      <c r="AI101" s="320"/>
      <c r="AJ101" s="321"/>
      <c r="AK101" s="183"/>
      <c r="AL101" s="183"/>
      <c r="AM101" s="319"/>
      <c r="AN101" s="320"/>
      <c r="AO101" s="320"/>
      <c r="AP101" s="320"/>
      <c r="AQ101" s="320"/>
      <c r="AR101" s="320"/>
      <c r="AS101" s="320"/>
      <c r="AT101" s="320"/>
      <c r="AU101" s="320"/>
      <c r="AV101" s="320"/>
      <c r="AW101" s="320"/>
      <c r="AX101" s="320"/>
      <c r="AY101" s="320"/>
      <c r="AZ101" s="320"/>
      <c r="BA101" s="320"/>
      <c r="BB101" s="320"/>
      <c r="BC101" s="320"/>
      <c r="BD101" s="320"/>
      <c r="BE101" s="320"/>
      <c r="BF101" s="320"/>
      <c r="BG101" s="320"/>
      <c r="BH101" s="320"/>
      <c r="BI101" s="320"/>
      <c r="BJ101" s="320"/>
      <c r="BK101" s="320"/>
      <c r="BL101" s="320"/>
      <c r="BM101" s="320"/>
      <c r="BN101" s="320"/>
      <c r="BO101" s="320"/>
      <c r="BP101" s="320"/>
      <c r="BQ101" s="32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9" priority="2">
      <formula>$BB$25="○"</formula>
    </cfRule>
  </conditionalFormatting>
  <conditionalFormatting sqref="BD28:BD30">
    <cfRule type="expression" dxfId="2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459F4-FC89-48F2-B8BA-26B6456D95A1}">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IF(COUNTIF([10]回答表!K15,"*")&gt;0,[10]回答表!K15,"")</f>
        <v>大仙市</v>
      </c>
      <c r="D11" s="8"/>
      <c r="E11" s="8"/>
      <c r="F11" s="8"/>
      <c r="G11" s="8"/>
      <c r="H11" s="8"/>
      <c r="I11" s="8"/>
      <c r="J11" s="8"/>
      <c r="K11" s="8"/>
      <c r="L11" s="8"/>
      <c r="M11" s="8"/>
      <c r="N11" s="8"/>
      <c r="O11" s="8"/>
      <c r="P11" s="8"/>
      <c r="Q11" s="8"/>
      <c r="R11" s="8"/>
      <c r="S11" s="8"/>
      <c r="T11" s="8"/>
      <c r="U11" s="22" t="str">
        <f>IF(COUNTIF([10]回答表!F17,"*")&gt;0,[10]回答表!F17,"")</f>
        <v>観光施設事業</v>
      </c>
      <c r="V11" s="23"/>
      <c r="W11" s="23"/>
      <c r="X11" s="23"/>
      <c r="Y11" s="23"/>
      <c r="Z11" s="23"/>
      <c r="AA11" s="23"/>
      <c r="AB11" s="23"/>
      <c r="AC11" s="23"/>
      <c r="AD11" s="23"/>
      <c r="AE11" s="23"/>
      <c r="AF11" s="10"/>
      <c r="AG11" s="10"/>
      <c r="AH11" s="10"/>
      <c r="AI11" s="10"/>
      <c r="AJ11" s="10"/>
      <c r="AK11" s="10"/>
      <c r="AL11" s="10"/>
      <c r="AM11" s="10"/>
      <c r="AN11" s="11"/>
      <c r="AO11" s="24" t="str">
        <f>IF(COUNTIF([10]回答表!W17,"*")&gt;0,[10]回答表!W17,"")</f>
        <v>索道</v>
      </c>
      <c r="AP11" s="10"/>
      <c r="AQ11" s="10"/>
      <c r="AR11" s="10"/>
      <c r="AS11" s="10"/>
      <c r="AT11" s="10"/>
      <c r="AU11" s="10"/>
      <c r="AV11" s="10"/>
      <c r="AW11" s="10"/>
      <c r="AX11" s="10"/>
      <c r="AY11" s="10"/>
      <c r="AZ11" s="10"/>
      <c r="BA11" s="10"/>
      <c r="BB11" s="10"/>
      <c r="BC11" s="10"/>
      <c r="BD11" s="10"/>
      <c r="BE11" s="10"/>
      <c r="BF11" s="11"/>
      <c r="BG11" s="21" t="str">
        <f>IF(COUNTIF([10]回答表!F19,"*")&gt;0,[10]回答表!F19,"")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IF([10]回答表!R43="●","●","")</f>
        <v/>
      </c>
      <c r="E24" s="80"/>
      <c r="F24" s="80"/>
      <c r="G24" s="80"/>
      <c r="H24" s="80"/>
      <c r="I24" s="80"/>
      <c r="J24" s="81"/>
      <c r="K24" s="79" t="str">
        <f>IF([10]回答表!R44="●","●","")</f>
        <v/>
      </c>
      <c r="L24" s="80"/>
      <c r="M24" s="80"/>
      <c r="N24" s="80"/>
      <c r="O24" s="80"/>
      <c r="P24" s="80"/>
      <c r="Q24" s="81"/>
      <c r="R24" s="79" t="str">
        <f>IF([10]回答表!R45="●","●","")</f>
        <v/>
      </c>
      <c r="S24" s="80"/>
      <c r="T24" s="80"/>
      <c r="U24" s="80"/>
      <c r="V24" s="80"/>
      <c r="W24" s="80"/>
      <c r="X24" s="81"/>
      <c r="Y24" s="79" t="str">
        <f>IF([10]回答表!R46="●","●","")</f>
        <v>●</v>
      </c>
      <c r="Z24" s="80"/>
      <c r="AA24" s="80"/>
      <c r="AB24" s="80"/>
      <c r="AC24" s="80"/>
      <c r="AD24" s="80"/>
      <c r="AE24" s="81"/>
      <c r="AF24" s="79" t="str">
        <f>IF([10]回答表!R47="●","●","")</f>
        <v/>
      </c>
      <c r="AG24" s="80"/>
      <c r="AH24" s="80"/>
      <c r="AI24" s="80"/>
      <c r="AJ24" s="80"/>
      <c r="AK24" s="80"/>
      <c r="AL24" s="81"/>
      <c r="AM24" s="79" t="str">
        <f>IF([10]回答表!R48="●","●","")</f>
        <v/>
      </c>
      <c r="AN24" s="80"/>
      <c r="AO24" s="80"/>
      <c r="AP24" s="80"/>
      <c r="AQ24" s="80"/>
      <c r="AR24" s="80"/>
      <c r="AS24" s="81"/>
      <c r="AT24" s="79" t="str">
        <f>IF([10]回答表!R49="●","●","")</f>
        <v/>
      </c>
      <c r="AU24" s="80"/>
      <c r="AV24" s="80"/>
      <c r="AW24" s="80"/>
      <c r="AX24" s="80"/>
      <c r="AY24" s="80"/>
      <c r="AZ24" s="81"/>
      <c r="BA24" s="68"/>
      <c r="BB24" s="82" t="str">
        <f>IF([10]回答表!R50="●","●","")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IF([10]回答表!X43="●","●","")</f>
        <v/>
      </c>
      <c r="O36" s="131"/>
      <c r="P36" s="131"/>
      <c r="Q36" s="132"/>
      <c r="R36" s="119"/>
      <c r="S36" s="119"/>
      <c r="T36" s="119"/>
      <c r="U36" s="133" t="str">
        <f>IF([10]回答表!X43="●",[10]回答表!B59,IF([10]回答表!AA43="●",[10]回答表!B79,""))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IF([10]回答表!X43="●",[10]回答表!S65,IF([10]回答表!AA43="●",[10]回答表!S85,""))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IF([10]回答表!X43="●",[10]回答表!G65,IF([10]回答表!AA43="●",[10]回答表!G85,""))</f>
        <v/>
      </c>
      <c r="AN38" s="83"/>
      <c r="AO38" s="83"/>
      <c r="AP38" s="83"/>
      <c r="AQ38" s="83"/>
      <c r="AR38" s="83"/>
      <c r="AS38" s="83"/>
      <c r="AT38" s="153"/>
      <c r="AU38" s="82" t="str">
        <f>IF([10]回答表!X43="●",[10]回答表!G66,IF([10]回答表!AA43="●",[10]回答表!G86,""))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IF([10]回答表!X43="●",[10]回答表!V65,IF([10]回答表!AA43="●",[10]回答表!V85,""))</f>
        <v/>
      </c>
      <c r="BG39" s="16"/>
      <c r="BH39" s="16"/>
      <c r="BI39" s="17"/>
      <c r="BJ39" s="150" t="str">
        <f>IF([10]回答表!X43="●",[10]回答表!V66,IF([10]回答表!AA43="●",[10]回答表!V86,""))</f>
        <v/>
      </c>
      <c r="BK39" s="16"/>
      <c r="BL39" s="16"/>
      <c r="BM39" s="17"/>
      <c r="BN39" s="150" t="str">
        <f>IF([10]回答表!X43="●",[10]回答表!V67,IF([10]回答表!AA43="●",[10]回答表!V87,""))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IF([10]回答表!X43="●",[10]回答表!O71,IF([10]回答表!AA43="●",[10]回答表!O91,""))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IF([10]回答表!X43="●",[10]回答表!O72,IF([10]回答表!AA43="●",[10]回答表!O92,""))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IF([10]回答表!AA43="●","●","")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IF([10]回答表!X43="●",[10]回答表!O73,IF([10]回答表!AA43="●",[10]回答表!O93,""))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IF([10]回答表!X43="●",[10]回答表!O74,IF([10]回答表!AA43="●",[10]回答表!O94,""))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IF([10]回答表!X43="●",[10]回答表!AG71,IF([10]回答表!AA43="●",[10]回答表!AG91,""))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IF([10]回答表!X43="●",[10]回答表!AG72,IF([10]回答表!AA43="●",[10]回答表!AG92,""))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IF([10]回答表!AD43="●","●","")</f>
        <v/>
      </c>
      <c r="O51" s="131"/>
      <c r="P51" s="131"/>
      <c r="Q51" s="132"/>
      <c r="R51" s="119"/>
      <c r="S51" s="119"/>
      <c r="T51" s="119"/>
      <c r="U51" s="133" t="str">
        <f>IF([10]回答表!AD43="●",[10]回答表!B99,"")</f>
        <v/>
      </c>
      <c r="V51" s="134"/>
      <c r="W51" s="134"/>
      <c r="X51" s="134"/>
      <c r="Y51" s="134"/>
      <c r="Z51" s="134"/>
      <c r="AA51" s="134"/>
      <c r="AB51" s="134"/>
      <c r="AC51" s="134"/>
      <c r="AD51" s="134"/>
      <c r="AE51" s="134"/>
      <c r="AF51" s="134"/>
      <c r="AG51" s="134"/>
      <c r="AH51" s="134"/>
      <c r="AI51" s="134"/>
      <c r="AJ51" s="135"/>
      <c r="AK51" s="183"/>
      <c r="AL51" s="183"/>
      <c r="AM51" s="133" t="str">
        <f>IF([10]回答表!AD43="●",[10]回答表!B104,"")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IF([10]回答表!X44="●","●","")</f>
        <v/>
      </c>
      <c r="O62" s="131"/>
      <c r="P62" s="131"/>
      <c r="Q62" s="132"/>
      <c r="R62" s="119"/>
      <c r="S62" s="119"/>
      <c r="T62" s="119"/>
      <c r="U62" s="133" t="str">
        <f>IF([10]回答表!X44="●",[10]回答表!B115,IF([10]回答表!AA44="●",[10]回答表!B127,""))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IF([10]回答表!X44="●",[10]回答表!S121,IF([10]回答表!AA44="●",[10]回答表!S133,""))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IF([10]回答表!X44="●",[10]回答表!J121,IF([10]回答表!AA44="●",[10]回答表!J133,""))</f>
        <v/>
      </c>
      <c r="AN65" s="83"/>
      <c r="AO65" s="83"/>
      <c r="AP65" s="83"/>
      <c r="AQ65" s="83"/>
      <c r="AR65" s="83"/>
      <c r="AS65" s="83"/>
      <c r="AT65" s="153"/>
      <c r="AU65" s="82" t="str">
        <f>IF([10]回答表!X44="●",[10]回答表!J122,IF([10]回答表!AA44="●",[10]回答表!J134,""))</f>
        <v/>
      </c>
      <c r="AV65" s="83"/>
      <c r="AW65" s="83"/>
      <c r="AX65" s="83"/>
      <c r="AY65" s="83"/>
      <c r="AZ65" s="83"/>
      <c r="BA65" s="83"/>
      <c r="BB65" s="153"/>
      <c r="BC65" s="120"/>
      <c r="BD65" s="109"/>
      <c r="BE65" s="109"/>
      <c r="BF65" s="150" t="str">
        <f>IF([10]回答表!X44="●",[10]回答表!V121,IF([10]回答表!AA44="●",[10]回答表!V133,""))</f>
        <v/>
      </c>
      <c r="BG65" s="151"/>
      <c r="BH65" s="151"/>
      <c r="BI65" s="151"/>
      <c r="BJ65" s="150" t="str">
        <f>IF([10]回答表!X44="●",[10]回答表!V122,IF([10]回答表!AA44="●",[10]回答表!V134,""))</f>
        <v/>
      </c>
      <c r="BK65" s="151"/>
      <c r="BL65" s="151"/>
      <c r="BM65" s="151"/>
      <c r="BN65" s="150" t="str">
        <f>IF([10]回答表!X44="●",[10]回答表!V123,IF([10]回答表!AA44="●",[10]回答表!V135,""))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IF([10]回答表!AA44="●","●","")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IF([10]回答表!AD44="●","●","")</f>
        <v/>
      </c>
      <c r="O74" s="131"/>
      <c r="P74" s="131"/>
      <c r="Q74" s="132"/>
      <c r="R74" s="119"/>
      <c r="S74" s="119"/>
      <c r="T74" s="119"/>
      <c r="U74" s="133" t="str">
        <f>IF([10]回答表!AD44="●",[10]回答表!B140,"")</f>
        <v/>
      </c>
      <c r="V74" s="134"/>
      <c r="W74" s="134"/>
      <c r="X74" s="134"/>
      <c r="Y74" s="134"/>
      <c r="Z74" s="134"/>
      <c r="AA74" s="134"/>
      <c r="AB74" s="134"/>
      <c r="AC74" s="134"/>
      <c r="AD74" s="134"/>
      <c r="AE74" s="134"/>
      <c r="AF74" s="134"/>
      <c r="AG74" s="134"/>
      <c r="AH74" s="134"/>
      <c r="AI74" s="134"/>
      <c r="AJ74" s="135"/>
      <c r="AK74" s="183"/>
      <c r="AL74" s="183"/>
      <c r="AM74" s="133" t="str">
        <f>IF([10]回答表!AD44="●",[10]回答表!B146,"")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IF([10]回答表!F17="水道事業",IF([10]回答表!X45="●","●",""),"")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IF([10]回答表!F17="水道事業",IF([10]回答表!X45="●",[10]回答表!B158,IF([10]回答表!AA45="●",[10]回答表!B223,"")),"")</f>
        <v/>
      </c>
      <c r="AN86" s="201"/>
      <c r="AO86" s="201"/>
      <c r="AP86" s="201"/>
      <c r="AQ86" s="201"/>
      <c r="AR86" s="201"/>
      <c r="AS86" s="201"/>
      <c r="AT86" s="201"/>
      <c r="AU86" s="201"/>
      <c r="AV86" s="201"/>
      <c r="AW86" s="201"/>
      <c r="AX86" s="201"/>
      <c r="AY86" s="201"/>
      <c r="AZ86" s="201"/>
      <c r="BA86" s="201"/>
      <c r="BB86" s="201"/>
      <c r="BC86" s="202"/>
      <c r="BD86" s="109"/>
      <c r="BE86" s="109"/>
      <c r="BF86" s="138" t="str">
        <f>IF([10]回答表!F17="水道事業",IF([10]回答表!X45="●",[10]回答表!B212,IF([10]回答表!AA45="●",[10]回答表!B278,"")),"")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IF([10]回答表!F17="水道事業",IF([10]回答表!X45="●",[10]回答表!J166,IF([10]回答表!AA45="●",[10]回答表!J231,"")),"")</f>
        <v/>
      </c>
      <c r="V88" s="83"/>
      <c r="W88" s="83"/>
      <c r="X88" s="83"/>
      <c r="Y88" s="83"/>
      <c r="Z88" s="83"/>
      <c r="AA88" s="83"/>
      <c r="AB88" s="153"/>
      <c r="AC88" s="82" t="str">
        <f>IF([10]回答表!F17="水道事業",IF([10]回答表!X45="●",[10]回答表!J173,IF([10]回答表!AA45="●",[10]回答表!J238,"")),"")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IF([10]回答表!F17="水道事業",IF([10]回答表!X45="●",[10]回答表!E212,IF([10]回答表!AA45="●",[10]回答表!E278,"")),"")</f>
        <v/>
      </c>
      <c r="BG89" s="151"/>
      <c r="BH89" s="151"/>
      <c r="BI89" s="151"/>
      <c r="BJ89" s="150" t="str">
        <f>IF([10]回答表!F17="水道事業",IF([10]回答表!X45="●",[10]回答表!E213,IF([10]回答表!AA45="●",[10]回答表!E279,"")),"")</f>
        <v/>
      </c>
      <c r="BK89" s="151"/>
      <c r="BL89" s="151"/>
      <c r="BM89" s="151"/>
      <c r="BN89" s="150" t="str">
        <f>IF([10]回答表!F17="水道事業",IF([10]回答表!X45="●",[10]回答表!E214,IF([10]回答表!AA45="●",[10]回答表!E280,"")),"")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IF([10]回答表!F17="水道事業",IF([10]回答表!AA45="●","●",""),"")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IF([10]回答表!F17="水道事業",IF([10]回答表!X45="●",[10]回答表!J176,IF([10]回答表!AA45="●",[10]回答表!J241,"")),"")</f>
        <v/>
      </c>
      <c r="V93" s="83"/>
      <c r="W93" s="83"/>
      <c r="X93" s="83"/>
      <c r="Y93" s="83"/>
      <c r="Z93" s="83"/>
      <c r="AA93" s="83"/>
      <c r="AB93" s="153"/>
      <c r="AC93" s="82" t="str">
        <f>IF([10]回答表!F17="水道事業",IF([10]回答表!X45="●",[10]回答表!J180,IF([10]回答表!AA45="●",[10]回答表!J245,"")),"")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IF([10]回答表!F17="水道事業",IF([10]回答表!AD45="○","○",""),"")</f>
        <v/>
      </c>
      <c r="O98" s="131"/>
      <c r="P98" s="131"/>
      <c r="Q98" s="132"/>
      <c r="R98" s="119"/>
      <c r="S98" s="119"/>
      <c r="T98" s="119"/>
      <c r="U98" s="133" t="str">
        <f>IF([10]回答表!F17="水道事業",IF([10]回答表!AD45="●",[10]回答表!B289,""),"")</f>
        <v/>
      </c>
      <c r="V98" s="134"/>
      <c r="W98" s="134"/>
      <c r="X98" s="134"/>
      <c r="Y98" s="134"/>
      <c r="Z98" s="134"/>
      <c r="AA98" s="134"/>
      <c r="AB98" s="134"/>
      <c r="AC98" s="134"/>
      <c r="AD98" s="134"/>
      <c r="AE98" s="134"/>
      <c r="AF98" s="134"/>
      <c r="AG98" s="134"/>
      <c r="AH98" s="134"/>
      <c r="AI98" s="134"/>
      <c r="AJ98" s="135"/>
      <c r="AK98" s="183"/>
      <c r="AL98" s="183"/>
      <c r="AM98" s="133" t="str">
        <f>IF([10]回答表!F17="水道事業",IF([10]回答表!AD45="●",[10]回答表!B295,""),"")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IF([10]回答表!F17="簡易水道事業",IF([10]回答表!X45="●",[10]回答表!B158,IF([10]回答表!AA45="●",[10]回答表!B223,"")),"")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IF([10]回答表!F17="簡易水道事業",IF([10]回答表!X45="●",[10]回答表!B212,IF([10]回答表!AA45="●",[10]回答表!B278,"")),"")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IF([10]回答表!F17="簡易水道事業",IF([10]回答表!X45="●","●",""),"")</f>
        <v/>
      </c>
      <c r="O112" s="131"/>
      <c r="P112" s="131"/>
      <c r="Q112" s="132"/>
      <c r="R112" s="119"/>
      <c r="S112" s="119"/>
      <c r="T112" s="119"/>
      <c r="U112" s="82" t="str">
        <f>IF([10]回答表!F17="簡易水道事業",IF([10]回答表!X45="●",[10]回答表!Y185,IF([10]回答表!AA45="●",[10]回答表!Y251,"")),"")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IF([10]回答表!F17="簡易水道事業",IF([10]回答表!X45="●",[10]回答表!E212,IF([10]回答表!AA45="●",[10]回答表!E278,"")),"")</f>
        <v/>
      </c>
      <c r="BG113" s="151"/>
      <c r="BH113" s="151"/>
      <c r="BI113" s="151"/>
      <c r="BJ113" s="150" t="str">
        <f>IF([10]回答表!F17="簡易水道事業",IF([10]回答表!X45="●",[10]回答表!E213,IF([10]回答表!AA45="●",[10]回答表!E279,"")),"")</f>
        <v/>
      </c>
      <c r="BK113" s="151"/>
      <c r="BL113" s="151"/>
      <c r="BM113" s="151"/>
      <c r="BN113" s="150" t="str">
        <f>IF([10]回答表!F17="簡易水道事業",IF([10]回答表!X45="●",[10]回答表!E214,IF([10]回答表!AA45="●",[10]回答表!E280,"")),"")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IF([10]回答表!F17="簡易水道事業",IF([10]回答表!X45="●",[10]回答表!Y186,IF([10]回答表!AA45="●",[10]回答表!Y252,"")),"")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IF([10]回答表!F17="簡易水道事業",IF([10]回答表!AA45="●","●",""),"")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IF([10]回答表!F17="簡易水道事業",IF([10]回答表!X45="●",[10]回答表!Y187,IF([10]回答表!AA45="●",[10]回答表!Y253,"")),"")</f>
        <v/>
      </c>
      <c r="V122" s="83"/>
      <c r="W122" s="83"/>
      <c r="X122" s="83"/>
      <c r="Y122" s="83"/>
      <c r="Z122" s="83"/>
      <c r="AA122" s="83"/>
      <c r="AB122" s="83"/>
      <c r="AC122" s="83"/>
      <c r="AD122" s="83"/>
      <c r="AE122" s="83"/>
      <c r="AF122" s="83"/>
      <c r="AG122" s="83"/>
      <c r="AH122" s="83"/>
      <c r="AI122" s="83"/>
      <c r="AJ122" s="153"/>
      <c r="AK122" s="68"/>
      <c r="AL122" s="68"/>
      <c r="AM122" s="233" t="str">
        <f>IF([10]回答表!F17="簡易水道事業",IF([10]回答表!X45="●",[10]回答表!Y189,IF([10]回答表!AA45="●",[10]回答表!Y255,"")),"")</f>
        <v/>
      </c>
      <c r="AN122" s="233"/>
      <c r="AO122" s="233"/>
      <c r="AP122" s="233"/>
      <c r="AQ122" s="233"/>
      <c r="AR122" s="233"/>
      <c r="AS122" s="233" t="str">
        <f>IF([10]回答表!F17="簡易水道事業",IF([10]回答表!X45="●",[10]回答表!Y190,IF([10]回答表!AA45="●",[10]回答表!Y256,"")),"")</f>
        <v/>
      </c>
      <c r="AT122" s="233"/>
      <c r="AU122" s="233"/>
      <c r="AV122" s="233"/>
      <c r="AW122" s="233"/>
      <c r="AX122" s="233"/>
      <c r="AY122" s="233" t="str">
        <f>IF([10]回答表!F17="簡易水道事業",IF([10]回答表!X45="●",[10]回答表!Y191,IF([10]回答表!AA45="●",[10]回答表!Y257,"")),"")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IF([10]回答表!F17="簡易水道事業",IF([10]回答表!AD45="●","●",""),"")</f>
        <v/>
      </c>
      <c r="O127" s="131"/>
      <c r="P127" s="131"/>
      <c r="Q127" s="132"/>
      <c r="R127" s="119"/>
      <c r="S127" s="119"/>
      <c r="T127" s="119"/>
      <c r="U127" s="133" t="str">
        <f>IF([10]回答表!F17="簡易水道事業",IF([10]回答表!AD45="●",[10]回答表!B289,""),"")</f>
        <v/>
      </c>
      <c r="V127" s="134"/>
      <c r="W127" s="134"/>
      <c r="X127" s="134"/>
      <c r="Y127" s="134"/>
      <c r="Z127" s="134"/>
      <c r="AA127" s="134"/>
      <c r="AB127" s="134"/>
      <c r="AC127" s="134"/>
      <c r="AD127" s="134"/>
      <c r="AE127" s="134"/>
      <c r="AF127" s="134"/>
      <c r="AG127" s="134"/>
      <c r="AH127" s="134"/>
      <c r="AI127" s="134"/>
      <c r="AJ127" s="135"/>
      <c r="AK127" s="183"/>
      <c r="AL127" s="183"/>
      <c r="AM127" s="133" t="str">
        <f>IF([10]回答表!F17="簡易水道事業",IF([10]回答表!AD45="●",[10]回答表!B295,""),"")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IF([10]回答表!F17="下水道事業",IF([10]回答表!X45="●","●",""),"")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IF([10]回答表!F17="下水道事業",IF([10]回答表!X45="●",[10]回答表!B158,IF([10]回答表!AA45="●",[10]回答表!B223,"")),"")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IF([10]回答表!F17="下水道事業",IF([10]回答表!X45="●",[10]回答表!B212,IF([10]回答表!AA45="●",[10]回答表!B278,"")),"")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IF([10]回答表!F17="下水道事業",IF([10]回答表!X45="●",[10]回答表!Y193,IF([10]回答表!AA45="●",[10]回答表!Y259,"")),"")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IF([10]回答表!F17="下水道事業",IF([10]回答表!X45="●",[10]回答表!E212,IF([10]回答表!AA45="●",[10]回答表!E278,"")),"")</f>
        <v/>
      </c>
      <c r="BG142" s="151"/>
      <c r="BH142" s="151"/>
      <c r="BI142" s="151"/>
      <c r="BJ142" s="150" t="str">
        <f>IF([10]回答表!F17="下水道事業",IF([10]回答表!X45="●",[10]回答表!E213,IF([10]回答表!AA45="●",[10]回答表!E279,"")),"")</f>
        <v/>
      </c>
      <c r="BK142" s="151"/>
      <c r="BL142" s="151"/>
      <c r="BM142" s="151"/>
      <c r="BN142" s="150" t="str">
        <f>IF([10]回答表!F17="下水道事業",IF([10]回答表!X45="●",[10]回答表!E214,IF([10]回答表!AA45="●",[10]回答表!E280,"")),"")</f>
        <v/>
      </c>
      <c r="BO142" s="151"/>
      <c r="BP142" s="151"/>
      <c r="BQ142" s="152"/>
      <c r="BR142" s="112"/>
      <c r="BX142" s="200" t="str">
        <f>IF([10]回答表!AQ20="下水道事業",IF([10]回答表!BI48="○",[10]回答表!AM161,IF([10]回答表!BL48="○",[10]回答表!AM226,"")),"")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IF([10]回答表!F17="下水道事業",IF([10]回答表!X45="●",[10]回答表!Y195,IF([10]回答表!AA45="●",[10]回答表!Y261,"")),"")</f>
        <v/>
      </c>
      <c r="V147" s="83"/>
      <c r="W147" s="83"/>
      <c r="X147" s="83"/>
      <c r="Y147" s="83"/>
      <c r="Z147" s="83"/>
      <c r="AA147" s="83"/>
      <c r="AB147" s="153"/>
      <c r="AC147" s="82" t="str">
        <f>IF([10]回答表!F17="下水道事業",IF([10]回答表!X45="●",[10]回答表!Y196,IF([10]回答表!AA45="●",[10]回答表!Y262,"")),"")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IF([10]回答表!F17="下水道事業",IF([10]回答表!X45="●",[10]回答表!Y198,IF([10]回答表!AA45="●",[10]回答表!Y264,"")),"")</f>
        <v/>
      </c>
      <c r="V153" s="83"/>
      <c r="W153" s="83"/>
      <c r="X153" s="83"/>
      <c r="Y153" s="83"/>
      <c r="Z153" s="83"/>
      <c r="AA153" s="83"/>
      <c r="AB153" s="153"/>
      <c r="AC153" s="82" t="str">
        <f>IF([10]回答表!F17="下水道事業",IF([10]回答表!X45="●",[10]回答表!Y199,IF([10]回答表!AA45="●",[10]回答表!Y265,"")),"")</f>
        <v/>
      </c>
      <c r="AD153" s="83"/>
      <c r="AE153" s="83"/>
      <c r="AF153" s="83"/>
      <c r="AG153" s="83"/>
      <c r="AH153" s="83"/>
      <c r="AI153" s="83"/>
      <c r="AJ153" s="153"/>
      <c r="AK153" s="82" t="str">
        <f>IF([10]回答表!F17="下水道事業",IF([10]回答表!X45="●",[10]回答表!Y200,IF([10]回答表!AA45="●",[10]回答表!Y266,"")),"")</f>
        <v/>
      </c>
      <c r="AL153" s="83"/>
      <c r="AM153" s="83"/>
      <c r="AN153" s="83"/>
      <c r="AO153" s="83"/>
      <c r="AP153" s="83"/>
      <c r="AQ153" s="83"/>
      <c r="AR153" s="153"/>
      <c r="AS153" s="82" t="str">
        <f>IF([10]回答表!F17="下水道事業",IF([10]回答表!X45="●",[10]回答表!Y201,IF([10]回答表!AA45="●",[10]回答表!Y267,"")),"")</f>
        <v/>
      </c>
      <c r="AT153" s="83"/>
      <c r="AU153" s="83"/>
      <c r="AV153" s="83"/>
      <c r="AW153" s="83"/>
      <c r="AX153" s="83"/>
      <c r="AY153" s="83"/>
      <c r="AZ153" s="153"/>
      <c r="BA153" s="82" t="str">
        <f>IF([10]回答表!F17="下水道事業",IF([10]回答表!X45="●",[10]回答表!Y202,IF([10]回答表!AA45="●",[10]回答表!Y268,"")),"")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IF([10]回答表!F17="下水道事業",IF([10]回答表!AA45="●","●",""),"")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IF([10]回答表!F17="下水道事業",IF([10]回答表!X45="●",[10]回答表!Y207,IF([10]回答表!AA45="●",[10]回答表!Y273,"")),"")</f>
        <v/>
      </c>
      <c r="V159" s="83"/>
      <c r="W159" s="83"/>
      <c r="X159" s="83"/>
      <c r="Y159" s="83"/>
      <c r="Z159" s="83"/>
      <c r="AA159" s="83"/>
      <c r="AB159" s="153"/>
      <c r="AC159" s="82" t="str">
        <f>IF([10]回答表!F17="下水道事業",IF([10]回答表!X45="●",[10]回答表!Y208,IF([10]回答表!AA45="●",[10]回答表!Y274,"")),"")</f>
        <v/>
      </c>
      <c r="AD159" s="83"/>
      <c r="AE159" s="83"/>
      <c r="AF159" s="83"/>
      <c r="AG159" s="83"/>
      <c r="AH159" s="83"/>
      <c r="AI159" s="83"/>
      <c r="AJ159" s="153"/>
      <c r="AK159" s="82" t="str">
        <f>IF([10]回答表!F17="下水道事業",IF([10]回答表!X45="●",[10]回答表!Y209,IF([10]回答表!AA45="●",[10]回答表!Y275,"")),"")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IF([10]回答表!F17="下水道事業",IF([10]回答表!AD45="●","●",""),"")</f>
        <v/>
      </c>
      <c r="O164" s="131"/>
      <c r="P164" s="131"/>
      <c r="Q164" s="132"/>
      <c r="R164" s="119"/>
      <c r="S164" s="119"/>
      <c r="T164" s="119"/>
      <c r="U164" s="133" t="str">
        <f>IF([10]回答表!F17="下水道事業",IF([10]回答表!AD45="●",[10]回答表!B289,""),"")</f>
        <v/>
      </c>
      <c r="V164" s="134"/>
      <c r="W164" s="134"/>
      <c r="X164" s="134"/>
      <c r="Y164" s="134"/>
      <c r="Z164" s="134"/>
      <c r="AA164" s="134"/>
      <c r="AB164" s="134"/>
      <c r="AC164" s="134"/>
      <c r="AD164" s="134"/>
      <c r="AE164" s="134"/>
      <c r="AF164" s="134"/>
      <c r="AG164" s="134"/>
      <c r="AH164" s="134"/>
      <c r="AI164" s="134"/>
      <c r="AJ164" s="135"/>
      <c r="AK164" s="183"/>
      <c r="AL164" s="183"/>
      <c r="AM164" s="133" t="str">
        <f>IF([10]回答表!F17="下水道事業",IF([10]回答表!AD45="●",[10]回答表!B295,""),"")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IF([10]回答表!BD17="●",IF([10]回答表!X45="●","●",""),"")</f>
        <v/>
      </c>
      <c r="O176" s="131"/>
      <c r="P176" s="131"/>
      <c r="Q176" s="132"/>
      <c r="R176" s="119"/>
      <c r="S176" s="119"/>
      <c r="T176" s="119"/>
      <c r="U176" s="133" t="str">
        <f>IF([10]回答表!BD17="●",IF([10]回答表!X45="●",[10]回答表!B158,IF([10]回答表!AA45="●",[10]回答表!B223,"")),"")</f>
        <v/>
      </c>
      <c r="V176" s="134"/>
      <c r="W176" s="134"/>
      <c r="X176" s="134"/>
      <c r="Y176" s="134"/>
      <c r="Z176" s="134"/>
      <c r="AA176" s="134"/>
      <c r="AB176" s="134"/>
      <c r="AC176" s="134"/>
      <c r="AD176" s="134"/>
      <c r="AE176" s="134"/>
      <c r="AF176" s="134"/>
      <c r="AG176" s="134"/>
      <c r="AH176" s="134"/>
      <c r="AI176" s="134"/>
      <c r="AJ176" s="135"/>
      <c r="AK176" s="136"/>
      <c r="AL176" s="136"/>
      <c r="AM176" s="138" t="str">
        <f>IF([10]回答表!BD17="●",IF([10]回答表!X45="●",[10]回答表!B212,IF([10]回答表!AA45="●",[10]回答表!B278,"")),"")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IF([10]回答表!BD17="●",IF([10]回答表!X45="●",[10]回答表!E212,IF([10]回答表!AA45="●",[10]回答表!E278,"")),"")</f>
        <v/>
      </c>
      <c r="AN179" s="151"/>
      <c r="AO179" s="151"/>
      <c r="AP179" s="151"/>
      <c r="AQ179" s="150" t="str">
        <f>IF([10]回答表!BD17="●",IF([10]回答表!X45="●",[10]回答表!E213,IF([10]回答表!AA45="●",[10]回答表!E279,"")),"")</f>
        <v/>
      </c>
      <c r="AR179" s="151"/>
      <c r="AS179" s="151"/>
      <c r="AT179" s="151"/>
      <c r="AU179" s="150" t="str">
        <f>IF([10]回答表!BD17="●",IF([10]回答表!X45="●",[10]回答表!E214,IF([10]回答表!AA45="●",[10]回答表!E280,"")),"")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IF([10]回答表!BD17="●",IF([10]回答表!AA45="●","●",""),"")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IF([10]回答表!BD17="●",IF([10]回答表!AD45="●","●",""),"")</f>
        <v/>
      </c>
      <c r="O188" s="131"/>
      <c r="P188" s="131"/>
      <c r="Q188" s="132"/>
      <c r="R188" s="119"/>
      <c r="S188" s="119"/>
      <c r="T188" s="119"/>
      <c r="U188" s="133" t="str">
        <f>IF([10]回答表!BD17="●",IF([10]回答表!AD45="●",[10]回答表!B289,""),"")</f>
        <v/>
      </c>
      <c r="V188" s="134"/>
      <c r="W188" s="134"/>
      <c r="X188" s="134"/>
      <c r="Y188" s="134"/>
      <c r="Z188" s="134"/>
      <c r="AA188" s="134"/>
      <c r="AB188" s="134"/>
      <c r="AC188" s="134"/>
      <c r="AD188" s="134"/>
      <c r="AE188" s="134"/>
      <c r="AF188" s="134"/>
      <c r="AG188" s="134"/>
      <c r="AH188" s="134"/>
      <c r="AI188" s="134"/>
      <c r="AJ188" s="135"/>
      <c r="AK188" s="183"/>
      <c r="AL188" s="183"/>
      <c r="AM188" s="133" t="str">
        <f>IF([10]回答表!BD17="●",IF([10]回答表!AD45="●",[10]回答表!B295,""),"")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IF([10]回答表!X46="●","●","")</f>
        <v>●</v>
      </c>
      <c r="O200" s="131"/>
      <c r="P200" s="131"/>
      <c r="Q200" s="132"/>
      <c r="R200" s="119"/>
      <c r="S200" s="119"/>
      <c r="T200" s="119"/>
      <c r="U200" s="133" t="str">
        <f>IF([10]回答表!X46="●",[10]回答表!B307,IF([10]回答表!AA46="●",[10]回答表!B324,""))</f>
        <v>　利用者ニーズに応えるべく、民間ノウハウを活用しより良いサービスの提供を行っている。市との連携により、適正な施設の維持管理及び運営を行っている。</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IF([10]回答表!X46="●",[10]回答表!U313,IF([10]回答表!AA46="●",[10]回答表!U330,""))</f>
        <v>平成</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IF([10]回答表!X46="●",[10]回答表!G313,IF([10]回答表!AA46="●",[10]回答表!G330,""))</f>
        <v xml:space="preserve"> </v>
      </c>
      <c r="AN203" s="83"/>
      <c r="AO203" s="83"/>
      <c r="AP203" s="83"/>
      <c r="AQ203" s="83"/>
      <c r="AR203" s="83"/>
      <c r="AS203" s="83"/>
      <c r="AT203" s="153"/>
      <c r="AU203" s="82" t="str">
        <f>IF([10]回答表!X46="●",[10]回答表!G314,IF([10]回答表!AA46="●",[10]回答表!G331,""))</f>
        <v>●</v>
      </c>
      <c r="AV203" s="83"/>
      <c r="AW203" s="83"/>
      <c r="AX203" s="83"/>
      <c r="AY203" s="83"/>
      <c r="AZ203" s="83"/>
      <c r="BA203" s="83"/>
      <c r="BB203" s="153"/>
      <c r="BC203" s="120"/>
      <c r="BD203" s="109"/>
      <c r="BE203" s="109"/>
      <c r="BF203" s="150">
        <f>IF([10]回答表!X46="●",[10]回答表!X313,IF([10]回答表!AA46="●",[10]回答表!X330,""))</f>
        <v>23</v>
      </c>
      <c r="BG203" s="151"/>
      <c r="BH203" s="151"/>
      <c r="BI203" s="151"/>
      <c r="BJ203" s="150">
        <f>IF([10]回答表!X46="●",[10]回答表!X314,IF([10]回答表!AA46="●",[10]回答表!X331,""))</f>
        <v>12</v>
      </c>
      <c r="BK203" s="151"/>
      <c r="BL203" s="151"/>
      <c r="BM203" s="152"/>
      <c r="BN203" s="150">
        <f>IF([10]回答表!X46="●",[10]回答表!X315,IF([10]回答表!AA46="●",[10]回答表!X332,""))</f>
        <v>1</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IF([10]回答表!AA46="●","●","")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IF([10]回答表!AD46="●","●","")</f>
        <v/>
      </c>
      <c r="O212" s="131"/>
      <c r="P212" s="131"/>
      <c r="Q212" s="132"/>
      <c r="R212" s="119"/>
      <c r="S212" s="119"/>
      <c r="T212" s="119"/>
      <c r="U212" s="133" t="str">
        <f>IF([10]回答表!AD46="●",[10]回答表!B337,"")</f>
        <v/>
      </c>
      <c r="V212" s="134"/>
      <c r="W212" s="134"/>
      <c r="X212" s="134"/>
      <c r="Y212" s="134"/>
      <c r="Z212" s="134"/>
      <c r="AA212" s="134"/>
      <c r="AB212" s="134"/>
      <c r="AC212" s="134"/>
      <c r="AD212" s="134"/>
      <c r="AE212" s="134"/>
      <c r="AF212" s="134"/>
      <c r="AG212" s="134"/>
      <c r="AH212" s="134"/>
      <c r="AI212" s="134"/>
      <c r="AJ212" s="135"/>
      <c r="AK212" s="259"/>
      <c r="AL212" s="259"/>
      <c r="AM212" s="133" t="str">
        <f>IF([10]回答表!AD46="●",[10]回答表!B343,"")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IF([10]回答表!X47="●","●","")</f>
        <v/>
      </c>
      <c r="O224" s="131"/>
      <c r="P224" s="131"/>
      <c r="Q224" s="132"/>
      <c r="R224" s="119"/>
      <c r="S224" s="119"/>
      <c r="T224" s="119"/>
      <c r="U224" s="133" t="str">
        <f>IF([10]回答表!X47="●",[10]回答表!B356,IF([10]回答表!AA47="●",[10]回答表!B379,""))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IF([10]回答表!X47="●",[10]回答表!B362,"")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IF([10]回答表!X47="●",[10]回答表!B368,IF([10]回答表!AA47="●",[10]回答表!B385,""))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IF([10]回答表!X47="●",[10]回答表!E368,IF([10]回答表!AA47="●",[10]回答表!E385,""))</f>
        <v/>
      </c>
      <c r="BG227" s="151"/>
      <c r="BH227" s="151"/>
      <c r="BI227" s="151"/>
      <c r="BJ227" s="150" t="str">
        <f>IF([10]回答表!X47="●",[10]回答表!E369,IF([10]回答表!AA47="●",[10]回答表!E386,""))</f>
        <v/>
      </c>
      <c r="BK227" s="151"/>
      <c r="BL227" s="151"/>
      <c r="BM227" s="152"/>
      <c r="BN227" s="150" t="str">
        <f>IF([10]回答表!X47="●",[10]回答表!E370,IF([10]回答表!AA47="●",[10]回答表!E387,""))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IF([10]回答表!AA47="●","●","")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IF([10]回答表!AD47="●","●","")</f>
        <v/>
      </c>
      <c r="O236" s="131"/>
      <c r="P236" s="131"/>
      <c r="Q236" s="132"/>
      <c r="R236" s="119"/>
      <c r="S236" s="119"/>
      <c r="T236" s="119"/>
      <c r="U236" s="133" t="str">
        <f>IF([10]回答表!AD47="●",[10]回答表!B392,"")</f>
        <v/>
      </c>
      <c r="V236" s="134"/>
      <c r="W236" s="134"/>
      <c r="X236" s="134"/>
      <c r="Y236" s="134"/>
      <c r="Z236" s="134"/>
      <c r="AA236" s="134"/>
      <c r="AB236" s="134"/>
      <c r="AC236" s="134"/>
      <c r="AD236" s="134"/>
      <c r="AE236" s="134"/>
      <c r="AF236" s="134"/>
      <c r="AG236" s="134"/>
      <c r="AH236" s="134"/>
      <c r="AI236" s="134"/>
      <c r="AJ236" s="135"/>
      <c r="AK236" s="259"/>
      <c r="AL236" s="259"/>
      <c r="AM236" s="133" t="str">
        <f>IF([10]回答表!AD47="●",[10]回答表!B398,"")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IF([10]回答表!X48="●","●","")</f>
        <v/>
      </c>
      <c r="O248" s="131"/>
      <c r="P248" s="131"/>
      <c r="Q248" s="132"/>
      <c r="R248" s="119"/>
      <c r="S248" s="119"/>
      <c r="T248" s="119"/>
      <c r="U248" s="133" t="str">
        <f>IF([10]回答表!X48="●",[10]回答表!B411,IF([10]回答表!AA48="●",[10]回答表!B425,""))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IF([10]回答表!X48="●",[10]回答表!BC418,IF([10]回答表!AA48="●",[10]回答表!BC432,""))</f>
        <v/>
      </c>
      <c r="AR248" s="272"/>
      <c r="AS248" s="272"/>
      <c r="AT248" s="272"/>
      <c r="AU248" s="273" t="s">
        <v>73</v>
      </c>
      <c r="AV248" s="274"/>
      <c r="AW248" s="274"/>
      <c r="AX248" s="275"/>
      <c r="AY248" s="272" t="str">
        <f>IF([10]回答表!X48="●",[10]回答表!BC423,IF([10]回答表!AA48="●",[10]回答表!BC437,""))</f>
        <v/>
      </c>
      <c r="AZ248" s="272"/>
      <c r="BA248" s="272"/>
      <c r="BB248" s="272"/>
      <c r="BC248" s="120"/>
      <c r="BD248" s="109"/>
      <c r="BE248" s="109"/>
      <c r="BF248" s="138" t="str">
        <f>IF([10]回答表!X48="●",[10]回答表!S417,IF([10]回答表!AA48="●",[10]回答表!S431,""))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IF([10]回答表!X48="●",[10]回答表!BC419,IF([10]回答表!AA48="●",[10]回答表!BC433,""))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IF([10]回答表!X48="●",[10]回答表!V417,IF([10]回答表!AA48="●",[10]回答表!V431,""))</f>
        <v/>
      </c>
      <c r="BG251" s="151"/>
      <c r="BH251" s="151"/>
      <c r="BI251" s="151"/>
      <c r="BJ251" s="150" t="str">
        <f>IF([10]回答表!X48="●",[10]回答表!V418,IF([10]回答表!AA48="●",[10]回答表!V432,""))</f>
        <v/>
      </c>
      <c r="BK251" s="151"/>
      <c r="BL251" s="151"/>
      <c r="BM251" s="152"/>
      <c r="BN251" s="150" t="str">
        <f>IF([10]回答表!X48="●",[10]回答表!V419,IF([10]回答表!AA48="●",[10]回答表!V433,""))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IF([10]回答表!X48="●",[10]回答表!BC420,IF([10]回答表!AA48="●",[10]回答表!BC434,""))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IF([10]回答表!X48="●",[10]回答表!BC424,IF([10]回答表!AA48="●",[10]回答表!BC438,""))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IF([10]回答表!AA48="●","●","")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IF([10]回答表!X48="●",[10]回答表!BC421,IF([10]回答表!AA48="●",[10]回答表!BC435,""))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IF([10]回答表!X48="●",[10]回答表!BC422,IF([10]回答表!AA48="●",[10]回答表!BC436,""))</f>
        <v/>
      </c>
      <c r="AR256" s="272"/>
      <c r="AS256" s="272"/>
      <c r="AT256" s="272"/>
      <c r="AU256" s="224" t="s">
        <v>79</v>
      </c>
      <c r="AV256" s="225"/>
      <c r="AW256" s="225"/>
      <c r="AX256" s="226"/>
      <c r="AY256" s="282" t="str">
        <f>IF([10]回答表!X48="●",[10]回答表!BC425,IF([10]回答表!AA48="●",[10]回答表!BC439,""))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IF([10]回答表!AD48="●","●","")</f>
        <v/>
      </c>
      <c r="O260" s="131"/>
      <c r="P260" s="131"/>
      <c r="Q260" s="132"/>
      <c r="R260" s="119"/>
      <c r="S260" s="119"/>
      <c r="T260" s="119"/>
      <c r="U260" s="133" t="str">
        <f>IF([10]回答表!AD48="●",[10]回答表!B439,"")</f>
        <v/>
      </c>
      <c r="V260" s="134"/>
      <c r="W260" s="134"/>
      <c r="X260" s="134"/>
      <c r="Y260" s="134"/>
      <c r="Z260" s="134"/>
      <c r="AA260" s="134"/>
      <c r="AB260" s="134"/>
      <c r="AC260" s="134"/>
      <c r="AD260" s="134"/>
      <c r="AE260" s="134"/>
      <c r="AF260" s="134"/>
      <c r="AG260" s="134"/>
      <c r="AH260" s="134"/>
      <c r="AI260" s="134"/>
      <c r="AJ260" s="135"/>
      <c r="AK260" s="183"/>
      <c r="AL260" s="183"/>
      <c r="AM260" s="133" t="str">
        <f>IF([10]回答表!AD48="●",[10]回答表!B445,"")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IF([10]回答表!X49="●","●","")</f>
        <v/>
      </c>
      <c r="O271" s="131"/>
      <c r="P271" s="131"/>
      <c r="Q271" s="132"/>
      <c r="R271" s="119"/>
      <c r="S271" s="119"/>
      <c r="T271" s="119"/>
      <c r="U271" s="133" t="str">
        <f>IF([10]回答表!X49="●",[10]回答表!B458,IF([10]回答表!AA49="●",[10]回答表!B475,""))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IF([10]回答表!X49="●",[10]回答表!B468,IF([10]回答表!AA49="●",[10]回答表!B485,""))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IF([10]回答表!X49="●",[10]回答表!G464,IF([10]回答表!AA49="●",[10]回答表!G481,""))</f>
        <v/>
      </c>
      <c r="AN273" s="83"/>
      <c r="AO273" s="83"/>
      <c r="AP273" s="83"/>
      <c r="AQ273" s="83"/>
      <c r="AR273" s="83"/>
      <c r="AS273" s="83"/>
      <c r="AT273" s="153"/>
      <c r="AU273" s="82" t="str">
        <f>IF([10]回答表!X49="●",[10]回答表!G465,IF([10]回答表!AA49="●",[10]回答表!G482,""))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IF([10]回答表!X49="●",[10]回答表!E468,IF([10]回答表!AA49="●",[10]回答表!E485,""))</f>
        <v/>
      </c>
      <c r="BG274" s="151"/>
      <c r="BH274" s="151"/>
      <c r="BI274" s="151"/>
      <c r="BJ274" s="150" t="str">
        <f>IF([10]回答表!X49="●",[10]回答表!E469,IF([10]回答表!AA49="●",[10]回答表!E486,""))</f>
        <v/>
      </c>
      <c r="BK274" s="151"/>
      <c r="BL274" s="151"/>
      <c r="BM274" s="152"/>
      <c r="BN274" s="150" t="str">
        <f>IF([10]回答表!X49="●",[10]回答表!E470,IF([10]回答表!AA49="●",[10]回答表!E487,""))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IF([10]回答表!AA49="●","●","")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IF([10]回答表!AD49="●","●","")</f>
        <v/>
      </c>
      <c r="O283" s="131"/>
      <c r="P283" s="131"/>
      <c r="Q283" s="132"/>
      <c r="R283" s="119"/>
      <c r="S283" s="119"/>
      <c r="T283" s="119"/>
      <c r="U283" s="133" t="str">
        <f>IF([10]回答表!AD49="●",[10]回答表!B492,"")</f>
        <v/>
      </c>
      <c r="V283" s="134"/>
      <c r="W283" s="134"/>
      <c r="X283" s="134"/>
      <c r="Y283" s="134"/>
      <c r="Z283" s="134"/>
      <c r="AA283" s="134"/>
      <c r="AB283" s="134"/>
      <c r="AC283" s="134"/>
      <c r="AD283" s="134"/>
      <c r="AE283" s="134"/>
      <c r="AF283" s="134"/>
      <c r="AG283" s="134"/>
      <c r="AH283" s="134"/>
      <c r="AI283" s="134"/>
      <c r="AJ283" s="135"/>
      <c r="AK283" s="136"/>
      <c r="AL283" s="136"/>
      <c r="AM283" s="133" t="str">
        <f>IF([10]回答表!AD49="●",[10]回答表!B498,"")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IF([10]回答表!R50="●",[10]回答表!B511,"")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1" priority="2">
      <formula>$BB$25="○"</formula>
    </cfRule>
  </conditionalFormatting>
  <conditionalFormatting sqref="BD28:BD30">
    <cfRule type="expression" dxfId="1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4A292-F99C-458D-A58A-D7AEA5D4D058}">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IF(COUNTIF([11]回答表!K15,"*")&gt;0,[11]回答表!K15,"")</f>
        <v>大仙市</v>
      </c>
      <c r="D11" s="8"/>
      <c r="E11" s="8"/>
      <c r="F11" s="8"/>
      <c r="G11" s="8"/>
      <c r="H11" s="8"/>
      <c r="I11" s="8"/>
      <c r="J11" s="8"/>
      <c r="K11" s="8"/>
      <c r="L11" s="8"/>
      <c r="M11" s="8"/>
      <c r="N11" s="8"/>
      <c r="O11" s="8"/>
      <c r="P11" s="8"/>
      <c r="Q11" s="8"/>
      <c r="R11" s="8"/>
      <c r="S11" s="8"/>
      <c r="T11" s="8"/>
      <c r="U11" s="22" t="str">
        <f>IF(COUNTIF([11]回答表!F17,"*")&gt;0,[11]回答表!F17,"")</f>
        <v>宅地造成事業</v>
      </c>
      <c r="V11" s="23"/>
      <c r="W11" s="23"/>
      <c r="X11" s="23"/>
      <c r="Y11" s="23"/>
      <c r="Z11" s="23"/>
      <c r="AA11" s="23"/>
      <c r="AB11" s="23"/>
      <c r="AC11" s="23"/>
      <c r="AD11" s="23"/>
      <c r="AE11" s="23"/>
      <c r="AF11" s="10"/>
      <c r="AG11" s="10"/>
      <c r="AH11" s="10"/>
      <c r="AI11" s="10"/>
      <c r="AJ11" s="10"/>
      <c r="AK11" s="10"/>
      <c r="AL11" s="10"/>
      <c r="AM11" s="10"/>
      <c r="AN11" s="11"/>
      <c r="AO11" s="24" t="str">
        <f>IF(COUNTIF([11]回答表!W17,"*")&gt;0,[11]回答表!W17,"")</f>
        <v>その他造成</v>
      </c>
      <c r="AP11" s="10"/>
      <c r="AQ11" s="10"/>
      <c r="AR11" s="10"/>
      <c r="AS11" s="10"/>
      <c r="AT11" s="10"/>
      <c r="AU11" s="10"/>
      <c r="AV11" s="10"/>
      <c r="AW11" s="10"/>
      <c r="AX11" s="10"/>
      <c r="AY11" s="10"/>
      <c r="AZ11" s="10"/>
      <c r="BA11" s="10"/>
      <c r="BB11" s="10"/>
      <c r="BC11" s="10"/>
      <c r="BD11" s="10"/>
      <c r="BE11" s="10"/>
      <c r="BF11" s="11"/>
      <c r="BG11" s="21" t="str">
        <f>IF(COUNTIF([11]回答表!F19,"*")&gt;0,[11]回答表!F19,"")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IF([11]回答表!R43="●","●","")</f>
        <v/>
      </c>
      <c r="E24" s="80"/>
      <c r="F24" s="80"/>
      <c r="G24" s="80"/>
      <c r="H24" s="80"/>
      <c r="I24" s="80"/>
      <c r="J24" s="81"/>
      <c r="K24" s="79" t="str">
        <f>IF([11]回答表!R44="●","●","")</f>
        <v/>
      </c>
      <c r="L24" s="80"/>
      <c r="M24" s="80"/>
      <c r="N24" s="80"/>
      <c r="O24" s="80"/>
      <c r="P24" s="80"/>
      <c r="Q24" s="81"/>
      <c r="R24" s="79" t="str">
        <f>IF([11]回答表!R45="●","●","")</f>
        <v/>
      </c>
      <c r="S24" s="80"/>
      <c r="T24" s="80"/>
      <c r="U24" s="80"/>
      <c r="V24" s="80"/>
      <c r="W24" s="80"/>
      <c r="X24" s="81"/>
      <c r="Y24" s="79" t="str">
        <f>IF([11]回答表!R46="●","●","")</f>
        <v/>
      </c>
      <c r="Z24" s="80"/>
      <c r="AA24" s="80"/>
      <c r="AB24" s="80"/>
      <c r="AC24" s="80"/>
      <c r="AD24" s="80"/>
      <c r="AE24" s="81"/>
      <c r="AF24" s="79" t="str">
        <f>IF([11]回答表!R47="●","●","")</f>
        <v/>
      </c>
      <c r="AG24" s="80"/>
      <c r="AH24" s="80"/>
      <c r="AI24" s="80"/>
      <c r="AJ24" s="80"/>
      <c r="AK24" s="80"/>
      <c r="AL24" s="81"/>
      <c r="AM24" s="79" t="str">
        <f>IF([11]回答表!R48="●","●","")</f>
        <v/>
      </c>
      <c r="AN24" s="80"/>
      <c r="AO24" s="80"/>
      <c r="AP24" s="80"/>
      <c r="AQ24" s="80"/>
      <c r="AR24" s="80"/>
      <c r="AS24" s="81"/>
      <c r="AT24" s="79" t="str">
        <f>IF([11]回答表!R49="●","●","")</f>
        <v/>
      </c>
      <c r="AU24" s="80"/>
      <c r="AV24" s="80"/>
      <c r="AW24" s="80"/>
      <c r="AX24" s="80"/>
      <c r="AY24" s="80"/>
      <c r="AZ24" s="81"/>
      <c r="BA24" s="68"/>
      <c r="BB24" s="82" t="str">
        <f>IF([11]回答表!R50="●","●","")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IF([11]回答表!X43="●","●","")</f>
        <v/>
      </c>
      <c r="O36" s="131"/>
      <c r="P36" s="131"/>
      <c r="Q36" s="132"/>
      <c r="R36" s="119"/>
      <c r="S36" s="119"/>
      <c r="T36" s="119"/>
      <c r="U36" s="133" t="str">
        <f>IF([11]回答表!X43="●",[11]回答表!B59,IF([11]回答表!AA43="●",[11]回答表!B79,""))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IF([11]回答表!X43="●",[11]回答表!S65,IF([11]回答表!AA43="●",[11]回答表!S85,""))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IF([11]回答表!X43="●",[11]回答表!G65,IF([11]回答表!AA43="●",[11]回答表!G85,""))</f>
        <v/>
      </c>
      <c r="AN38" s="83"/>
      <c r="AO38" s="83"/>
      <c r="AP38" s="83"/>
      <c r="AQ38" s="83"/>
      <c r="AR38" s="83"/>
      <c r="AS38" s="83"/>
      <c r="AT38" s="153"/>
      <c r="AU38" s="82" t="str">
        <f>IF([11]回答表!X43="●",[11]回答表!G66,IF([11]回答表!AA43="●",[11]回答表!G86,""))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IF([11]回答表!X43="●",[11]回答表!V65,IF([11]回答表!AA43="●",[11]回答表!V85,""))</f>
        <v/>
      </c>
      <c r="BG39" s="16"/>
      <c r="BH39" s="16"/>
      <c r="BI39" s="17"/>
      <c r="BJ39" s="150" t="str">
        <f>IF([11]回答表!X43="●",[11]回答表!V66,IF([11]回答表!AA43="●",[11]回答表!V86,""))</f>
        <v/>
      </c>
      <c r="BK39" s="16"/>
      <c r="BL39" s="16"/>
      <c r="BM39" s="17"/>
      <c r="BN39" s="150" t="str">
        <f>IF([11]回答表!X43="●",[11]回答表!V67,IF([11]回答表!AA43="●",[11]回答表!V87,""))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IF([11]回答表!X43="●",[11]回答表!O71,IF([11]回答表!AA43="●",[11]回答表!O91,""))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IF([11]回答表!X43="●",[11]回答表!O72,IF([11]回答表!AA43="●",[11]回答表!O92,""))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IF([11]回答表!X43="●",[11]回答表!O73,IF([11]回答表!AA43="●",[11]回答表!O93,""))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IF([11]回答表!X43="●",[11]回答表!O74,IF([11]回答表!AA43="●",[11]回答表!O94,""))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IF([11]回答表!X43="●",[11]回答表!AG71,IF([11]回答表!AA43="●",[11]回答表!AG91,""))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IF([11]回答表!X43="●",[11]回答表!AG72,IF([11]回答表!AA43="●",[11]回答表!AG92,""))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IF([11]回答表!AD43="●","●","")</f>
        <v/>
      </c>
      <c r="O51" s="131"/>
      <c r="P51" s="131"/>
      <c r="Q51" s="132"/>
      <c r="R51" s="119"/>
      <c r="S51" s="119"/>
      <c r="T51" s="119"/>
      <c r="U51" s="133" t="str">
        <f>IF([11]回答表!AD43="●",[11]回答表!B99,"")</f>
        <v/>
      </c>
      <c r="V51" s="134"/>
      <c r="W51" s="134"/>
      <c r="X51" s="134"/>
      <c r="Y51" s="134"/>
      <c r="Z51" s="134"/>
      <c r="AA51" s="134"/>
      <c r="AB51" s="134"/>
      <c r="AC51" s="134"/>
      <c r="AD51" s="134"/>
      <c r="AE51" s="134"/>
      <c r="AF51" s="134"/>
      <c r="AG51" s="134"/>
      <c r="AH51" s="134"/>
      <c r="AI51" s="134"/>
      <c r="AJ51" s="135"/>
      <c r="AK51" s="183"/>
      <c r="AL51" s="183"/>
      <c r="AM51" s="133" t="str">
        <f>IF([11]回答表!AD43="●",[11]回答表!B104,"")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IF([11]回答表!X44="●","●","")</f>
        <v/>
      </c>
      <c r="O62" s="131"/>
      <c r="P62" s="131"/>
      <c r="Q62" s="132"/>
      <c r="R62" s="119"/>
      <c r="S62" s="119"/>
      <c r="T62" s="119"/>
      <c r="U62" s="133" t="str">
        <f>IF([11]回答表!X44="●",[11]回答表!B115,IF([11]回答表!AA44="●",[11]回答表!B127,""))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IF([11]回答表!X44="●",[11]回答表!S121,IF([11]回答表!AA44="●",[11]回答表!S133,""))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IF([11]回答表!X44="●",[11]回答表!J121,IF([11]回答表!AA44="●",[11]回答表!J133,""))</f>
        <v/>
      </c>
      <c r="AN65" s="83"/>
      <c r="AO65" s="83"/>
      <c r="AP65" s="83"/>
      <c r="AQ65" s="83"/>
      <c r="AR65" s="83"/>
      <c r="AS65" s="83"/>
      <c r="AT65" s="153"/>
      <c r="AU65" s="82" t="str">
        <f>IF([11]回答表!X44="●",[11]回答表!J122,IF([11]回答表!AA44="●",[11]回答表!J134,""))</f>
        <v/>
      </c>
      <c r="AV65" s="83"/>
      <c r="AW65" s="83"/>
      <c r="AX65" s="83"/>
      <c r="AY65" s="83"/>
      <c r="AZ65" s="83"/>
      <c r="BA65" s="83"/>
      <c r="BB65" s="153"/>
      <c r="BC65" s="120"/>
      <c r="BD65" s="109"/>
      <c r="BE65" s="109"/>
      <c r="BF65" s="150" t="str">
        <f>IF([11]回答表!X44="●",[11]回答表!V121,IF([11]回答表!AA44="●",[11]回答表!V133,""))</f>
        <v/>
      </c>
      <c r="BG65" s="151"/>
      <c r="BH65" s="151"/>
      <c r="BI65" s="151"/>
      <c r="BJ65" s="150" t="str">
        <f>IF([11]回答表!X44="●",[11]回答表!V122,IF([11]回答表!AA44="●",[11]回答表!V134,""))</f>
        <v/>
      </c>
      <c r="BK65" s="151"/>
      <c r="BL65" s="151"/>
      <c r="BM65" s="151"/>
      <c r="BN65" s="150" t="str">
        <f>IF([11]回答表!X44="●",[11]回答表!V123,IF([11]回答表!AA44="●",[11]回答表!V135,""))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IF([11]回答表!AD44="●","●","")</f>
        <v/>
      </c>
      <c r="O74" s="131"/>
      <c r="P74" s="131"/>
      <c r="Q74" s="132"/>
      <c r="R74" s="119"/>
      <c r="S74" s="119"/>
      <c r="T74" s="119"/>
      <c r="U74" s="133" t="str">
        <f>IF([11]回答表!AD44="●",[11]回答表!B140,"")</f>
        <v/>
      </c>
      <c r="V74" s="134"/>
      <c r="W74" s="134"/>
      <c r="X74" s="134"/>
      <c r="Y74" s="134"/>
      <c r="Z74" s="134"/>
      <c r="AA74" s="134"/>
      <c r="AB74" s="134"/>
      <c r="AC74" s="134"/>
      <c r="AD74" s="134"/>
      <c r="AE74" s="134"/>
      <c r="AF74" s="134"/>
      <c r="AG74" s="134"/>
      <c r="AH74" s="134"/>
      <c r="AI74" s="134"/>
      <c r="AJ74" s="135"/>
      <c r="AK74" s="183"/>
      <c r="AL74" s="183"/>
      <c r="AM74" s="133" t="str">
        <f>IF([11]回答表!AD44="●",[11]回答表!B146,"")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IF([11]回答表!F17="水道事業",IF([11]回答表!X45="●","●",""),"")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IF([11]回答表!F17="水道事業",IF([11]回答表!X45="●",[11]回答表!B158,IF([11]回答表!AA45="●",[11]回答表!B223,"")),"")</f>
        <v/>
      </c>
      <c r="AN86" s="201"/>
      <c r="AO86" s="201"/>
      <c r="AP86" s="201"/>
      <c r="AQ86" s="201"/>
      <c r="AR86" s="201"/>
      <c r="AS86" s="201"/>
      <c r="AT86" s="201"/>
      <c r="AU86" s="201"/>
      <c r="AV86" s="201"/>
      <c r="AW86" s="201"/>
      <c r="AX86" s="201"/>
      <c r="AY86" s="201"/>
      <c r="AZ86" s="201"/>
      <c r="BA86" s="201"/>
      <c r="BB86" s="201"/>
      <c r="BC86" s="202"/>
      <c r="BD86" s="109"/>
      <c r="BE86" s="109"/>
      <c r="BF86" s="138" t="str">
        <f>IF([11]回答表!F17="水道事業",IF([11]回答表!X45="●",[11]回答表!B212,IF([11]回答表!AA45="●",[11]回答表!B278,"")),"")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IF([11]回答表!F17="水道事業",IF([11]回答表!X45="●",[11]回答表!J166,IF([11]回答表!AA45="●",[11]回答表!J231,"")),"")</f>
        <v/>
      </c>
      <c r="V88" s="83"/>
      <c r="W88" s="83"/>
      <c r="X88" s="83"/>
      <c r="Y88" s="83"/>
      <c r="Z88" s="83"/>
      <c r="AA88" s="83"/>
      <c r="AB88" s="153"/>
      <c r="AC88" s="82" t="str">
        <f>IF([11]回答表!F17="水道事業",IF([11]回答表!X45="●",[11]回答表!J173,IF([11]回答表!AA45="●",[11]回答表!J238,"")),"")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IF([11]回答表!F17="水道事業",IF([11]回答表!X45="●",[11]回答表!E212,IF([11]回答表!AA45="●",[11]回答表!E278,"")),"")</f>
        <v/>
      </c>
      <c r="BG89" s="151"/>
      <c r="BH89" s="151"/>
      <c r="BI89" s="151"/>
      <c r="BJ89" s="150" t="str">
        <f>IF([11]回答表!F17="水道事業",IF([11]回答表!X45="●",[11]回答表!E213,IF([11]回答表!AA45="●",[11]回答表!E279,"")),"")</f>
        <v/>
      </c>
      <c r="BK89" s="151"/>
      <c r="BL89" s="151"/>
      <c r="BM89" s="151"/>
      <c r="BN89" s="150" t="str">
        <f>IF([11]回答表!F17="水道事業",IF([11]回答表!X45="●",[11]回答表!E214,IF([11]回答表!AA45="●",[11]回答表!E280,"")),"")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IF([11]回答表!F17="水道事業",IF([11]回答表!AA45="●","●",""),"")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IF([11]回答表!F17="水道事業",IF([11]回答表!X45="●",[11]回答表!J176,IF([11]回答表!AA45="●",[11]回答表!J241,"")),"")</f>
        <v/>
      </c>
      <c r="V93" s="83"/>
      <c r="W93" s="83"/>
      <c r="X93" s="83"/>
      <c r="Y93" s="83"/>
      <c r="Z93" s="83"/>
      <c r="AA93" s="83"/>
      <c r="AB93" s="153"/>
      <c r="AC93" s="82" t="str">
        <f>IF([11]回答表!F17="水道事業",IF([11]回答表!X45="●",[11]回答表!J180,IF([11]回答表!AA45="●",[11]回答表!J245,"")),"")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IF([11]回答表!F17="水道事業",IF([11]回答表!AD45="○","○",""),"")</f>
        <v/>
      </c>
      <c r="O98" s="131"/>
      <c r="P98" s="131"/>
      <c r="Q98" s="132"/>
      <c r="R98" s="119"/>
      <c r="S98" s="119"/>
      <c r="T98" s="119"/>
      <c r="U98" s="133" t="str">
        <f>IF([11]回答表!F17="水道事業",IF([11]回答表!AD45="●",[11]回答表!B289,""),"")</f>
        <v/>
      </c>
      <c r="V98" s="134"/>
      <c r="W98" s="134"/>
      <c r="X98" s="134"/>
      <c r="Y98" s="134"/>
      <c r="Z98" s="134"/>
      <c r="AA98" s="134"/>
      <c r="AB98" s="134"/>
      <c r="AC98" s="134"/>
      <c r="AD98" s="134"/>
      <c r="AE98" s="134"/>
      <c r="AF98" s="134"/>
      <c r="AG98" s="134"/>
      <c r="AH98" s="134"/>
      <c r="AI98" s="134"/>
      <c r="AJ98" s="135"/>
      <c r="AK98" s="183"/>
      <c r="AL98" s="183"/>
      <c r="AM98" s="133" t="str">
        <f>IF([11]回答表!F17="水道事業",IF([11]回答表!AD45="●",[11]回答表!B295,""),"")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IF([11]回答表!F17="簡易水道事業",IF([11]回答表!X45="●",[11]回答表!B158,IF([11]回答表!AA45="●",[11]回答表!B223,"")),"")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IF([11]回答表!F17="簡易水道事業",IF([11]回答表!X45="●",[11]回答表!B212,IF([11]回答表!AA45="●",[11]回答表!B278,"")),"")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IF([11]回答表!F17="簡易水道事業",IF([11]回答表!X45="●","●",""),"")</f>
        <v/>
      </c>
      <c r="O112" s="131"/>
      <c r="P112" s="131"/>
      <c r="Q112" s="132"/>
      <c r="R112" s="119"/>
      <c r="S112" s="119"/>
      <c r="T112" s="119"/>
      <c r="U112" s="82" t="str">
        <f>IF([11]回答表!F17="簡易水道事業",IF([11]回答表!X45="●",[11]回答表!Y185,IF([11]回答表!AA45="●",[11]回答表!Y251,"")),"")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IF([11]回答表!F17="簡易水道事業",IF([11]回答表!X45="●",[11]回答表!E212,IF([11]回答表!AA45="●",[11]回答表!E278,"")),"")</f>
        <v/>
      </c>
      <c r="BG113" s="151"/>
      <c r="BH113" s="151"/>
      <c r="BI113" s="151"/>
      <c r="BJ113" s="150" t="str">
        <f>IF([11]回答表!F17="簡易水道事業",IF([11]回答表!X45="●",[11]回答表!E213,IF([11]回答表!AA45="●",[11]回答表!E279,"")),"")</f>
        <v/>
      </c>
      <c r="BK113" s="151"/>
      <c r="BL113" s="151"/>
      <c r="BM113" s="151"/>
      <c r="BN113" s="150" t="str">
        <f>IF([11]回答表!F17="簡易水道事業",IF([11]回答表!X45="●",[11]回答表!E214,IF([11]回答表!AA45="●",[11]回答表!E280,"")),"")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IF([11]回答表!F17="簡易水道事業",IF([11]回答表!X45="●",[11]回答表!Y186,IF([11]回答表!AA45="●",[11]回答表!Y252,"")),"")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IF([11]回答表!F17="簡易水道事業",IF([11]回答表!AA45="●","●",""),"")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IF([11]回答表!F17="簡易水道事業",IF([11]回答表!X45="●",[11]回答表!Y187,IF([11]回答表!AA45="●",[11]回答表!Y253,"")),"")</f>
        <v/>
      </c>
      <c r="V122" s="83"/>
      <c r="W122" s="83"/>
      <c r="X122" s="83"/>
      <c r="Y122" s="83"/>
      <c r="Z122" s="83"/>
      <c r="AA122" s="83"/>
      <c r="AB122" s="83"/>
      <c r="AC122" s="83"/>
      <c r="AD122" s="83"/>
      <c r="AE122" s="83"/>
      <c r="AF122" s="83"/>
      <c r="AG122" s="83"/>
      <c r="AH122" s="83"/>
      <c r="AI122" s="83"/>
      <c r="AJ122" s="153"/>
      <c r="AK122" s="68"/>
      <c r="AL122" s="68"/>
      <c r="AM122" s="233" t="str">
        <f>IF([11]回答表!F17="簡易水道事業",IF([11]回答表!X45="●",[11]回答表!Y189,IF([11]回答表!AA45="●",[11]回答表!Y255,"")),"")</f>
        <v/>
      </c>
      <c r="AN122" s="233"/>
      <c r="AO122" s="233"/>
      <c r="AP122" s="233"/>
      <c r="AQ122" s="233"/>
      <c r="AR122" s="233"/>
      <c r="AS122" s="233" t="str">
        <f>IF([11]回答表!F17="簡易水道事業",IF([11]回答表!X45="●",[11]回答表!Y190,IF([11]回答表!AA45="●",[11]回答表!Y256,"")),"")</f>
        <v/>
      </c>
      <c r="AT122" s="233"/>
      <c r="AU122" s="233"/>
      <c r="AV122" s="233"/>
      <c r="AW122" s="233"/>
      <c r="AX122" s="233"/>
      <c r="AY122" s="233" t="str">
        <f>IF([11]回答表!F17="簡易水道事業",IF([11]回答表!X45="●",[11]回答表!Y191,IF([11]回答表!AA45="●",[11]回答表!Y257,"")),"")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IF([11]回答表!F17="簡易水道事業",IF([11]回答表!AD45="●","●",""),"")</f>
        <v/>
      </c>
      <c r="O127" s="131"/>
      <c r="P127" s="131"/>
      <c r="Q127" s="132"/>
      <c r="R127" s="119"/>
      <c r="S127" s="119"/>
      <c r="T127" s="119"/>
      <c r="U127" s="133" t="str">
        <f>IF([11]回答表!F17="簡易水道事業",IF([11]回答表!AD45="●",[11]回答表!B289,""),"")</f>
        <v/>
      </c>
      <c r="V127" s="134"/>
      <c r="W127" s="134"/>
      <c r="X127" s="134"/>
      <c r="Y127" s="134"/>
      <c r="Z127" s="134"/>
      <c r="AA127" s="134"/>
      <c r="AB127" s="134"/>
      <c r="AC127" s="134"/>
      <c r="AD127" s="134"/>
      <c r="AE127" s="134"/>
      <c r="AF127" s="134"/>
      <c r="AG127" s="134"/>
      <c r="AH127" s="134"/>
      <c r="AI127" s="134"/>
      <c r="AJ127" s="135"/>
      <c r="AK127" s="183"/>
      <c r="AL127" s="183"/>
      <c r="AM127" s="133" t="str">
        <f>IF([11]回答表!F17="簡易水道事業",IF([11]回答表!AD45="●",[11]回答表!B295,""),"")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IF([11]回答表!F17="下水道事業",IF([11]回答表!X45="●","●",""),"")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IF([11]回答表!F17="下水道事業",IF([11]回答表!X45="●",[11]回答表!B158,IF([11]回答表!AA45="●",[11]回答表!B223,"")),"")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IF([11]回答表!F17="下水道事業",IF([11]回答表!X45="●",[11]回答表!B212,IF([11]回答表!AA45="●",[11]回答表!B278,"")),"")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IF([11]回答表!F17="下水道事業",IF([11]回答表!X45="●",[11]回答表!Y193,IF([11]回答表!AA45="●",[11]回答表!Y259,"")),"")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IF([11]回答表!F17="下水道事業",IF([11]回答表!X45="●",[11]回答表!E212,IF([11]回答表!AA45="●",[11]回答表!E278,"")),"")</f>
        <v/>
      </c>
      <c r="BG142" s="151"/>
      <c r="BH142" s="151"/>
      <c r="BI142" s="151"/>
      <c r="BJ142" s="150" t="str">
        <f>IF([11]回答表!F17="下水道事業",IF([11]回答表!X45="●",[11]回答表!E213,IF([11]回答表!AA45="●",[11]回答表!E279,"")),"")</f>
        <v/>
      </c>
      <c r="BK142" s="151"/>
      <c r="BL142" s="151"/>
      <c r="BM142" s="151"/>
      <c r="BN142" s="150" t="str">
        <f>IF([11]回答表!F17="下水道事業",IF([11]回答表!X45="●",[11]回答表!E214,IF([11]回答表!AA45="●",[11]回答表!E280,"")),"")</f>
        <v/>
      </c>
      <c r="BO142" s="151"/>
      <c r="BP142" s="151"/>
      <c r="BQ142" s="152"/>
      <c r="BR142" s="112"/>
      <c r="BX142" s="200" t="str">
        <f>IF([11]回答表!AQ20="下水道事業",IF([11]回答表!BI48="○",[11]回答表!AM161,IF([11]回答表!BL48="○",[11]回答表!AM226,"")),"")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IF([11]回答表!F17="下水道事業",IF([11]回答表!X45="●",[11]回答表!Y195,IF([11]回答表!AA45="●",[11]回答表!Y261,"")),"")</f>
        <v/>
      </c>
      <c r="V147" s="83"/>
      <c r="W147" s="83"/>
      <c r="X147" s="83"/>
      <c r="Y147" s="83"/>
      <c r="Z147" s="83"/>
      <c r="AA147" s="83"/>
      <c r="AB147" s="153"/>
      <c r="AC147" s="82" t="str">
        <f>IF([11]回答表!F17="下水道事業",IF([11]回答表!X45="●",[11]回答表!Y196,IF([11]回答表!AA45="●",[11]回答表!Y262,"")),"")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IF([11]回答表!F17="下水道事業",IF([11]回答表!X45="●",[11]回答表!Y198,IF([11]回答表!AA45="●",[11]回答表!Y264,"")),"")</f>
        <v/>
      </c>
      <c r="V153" s="83"/>
      <c r="W153" s="83"/>
      <c r="X153" s="83"/>
      <c r="Y153" s="83"/>
      <c r="Z153" s="83"/>
      <c r="AA153" s="83"/>
      <c r="AB153" s="153"/>
      <c r="AC153" s="82" t="str">
        <f>IF([11]回答表!F17="下水道事業",IF([11]回答表!X45="●",[11]回答表!Y199,IF([11]回答表!AA45="●",[11]回答表!Y265,"")),"")</f>
        <v/>
      </c>
      <c r="AD153" s="83"/>
      <c r="AE153" s="83"/>
      <c r="AF153" s="83"/>
      <c r="AG153" s="83"/>
      <c r="AH153" s="83"/>
      <c r="AI153" s="83"/>
      <c r="AJ153" s="153"/>
      <c r="AK153" s="82" t="str">
        <f>IF([11]回答表!F17="下水道事業",IF([11]回答表!X45="●",[11]回答表!Y200,IF([11]回答表!AA45="●",[11]回答表!Y266,"")),"")</f>
        <v/>
      </c>
      <c r="AL153" s="83"/>
      <c r="AM153" s="83"/>
      <c r="AN153" s="83"/>
      <c r="AO153" s="83"/>
      <c r="AP153" s="83"/>
      <c r="AQ153" s="83"/>
      <c r="AR153" s="153"/>
      <c r="AS153" s="82" t="str">
        <f>IF([11]回答表!F17="下水道事業",IF([11]回答表!X45="●",[11]回答表!Y201,IF([11]回答表!AA45="●",[11]回答表!Y267,"")),"")</f>
        <v/>
      </c>
      <c r="AT153" s="83"/>
      <c r="AU153" s="83"/>
      <c r="AV153" s="83"/>
      <c r="AW153" s="83"/>
      <c r="AX153" s="83"/>
      <c r="AY153" s="83"/>
      <c r="AZ153" s="153"/>
      <c r="BA153" s="82" t="str">
        <f>IF([11]回答表!F17="下水道事業",IF([11]回答表!X45="●",[11]回答表!Y202,IF([11]回答表!AA45="●",[11]回答表!Y268,"")),"")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IF([11]回答表!F17="下水道事業",IF([11]回答表!AA45="●","●",""),"")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IF([11]回答表!F17="下水道事業",IF([11]回答表!X45="●",[11]回答表!Y207,IF([11]回答表!AA45="●",[11]回答表!Y273,"")),"")</f>
        <v/>
      </c>
      <c r="V159" s="83"/>
      <c r="W159" s="83"/>
      <c r="X159" s="83"/>
      <c r="Y159" s="83"/>
      <c r="Z159" s="83"/>
      <c r="AA159" s="83"/>
      <c r="AB159" s="153"/>
      <c r="AC159" s="82" t="str">
        <f>IF([11]回答表!F17="下水道事業",IF([11]回答表!X45="●",[11]回答表!Y208,IF([11]回答表!AA45="●",[11]回答表!Y274,"")),"")</f>
        <v/>
      </c>
      <c r="AD159" s="83"/>
      <c r="AE159" s="83"/>
      <c r="AF159" s="83"/>
      <c r="AG159" s="83"/>
      <c r="AH159" s="83"/>
      <c r="AI159" s="83"/>
      <c r="AJ159" s="153"/>
      <c r="AK159" s="82" t="str">
        <f>IF([11]回答表!F17="下水道事業",IF([11]回答表!X45="●",[11]回答表!Y209,IF([11]回答表!AA45="●",[11]回答表!Y275,"")),"")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IF([11]回答表!F17="下水道事業",IF([11]回答表!AD45="●","●",""),"")</f>
        <v/>
      </c>
      <c r="O164" s="131"/>
      <c r="P164" s="131"/>
      <c r="Q164" s="132"/>
      <c r="R164" s="119"/>
      <c r="S164" s="119"/>
      <c r="T164" s="119"/>
      <c r="U164" s="133" t="str">
        <f>IF([11]回答表!F17="下水道事業",IF([11]回答表!AD45="●",[11]回答表!B289,""),"")</f>
        <v/>
      </c>
      <c r="V164" s="134"/>
      <c r="W164" s="134"/>
      <c r="X164" s="134"/>
      <c r="Y164" s="134"/>
      <c r="Z164" s="134"/>
      <c r="AA164" s="134"/>
      <c r="AB164" s="134"/>
      <c r="AC164" s="134"/>
      <c r="AD164" s="134"/>
      <c r="AE164" s="134"/>
      <c r="AF164" s="134"/>
      <c r="AG164" s="134"/>
      <c r="AH164" s="134"/>
      <c r="AI164" s="134"/>
      <c r="AJ164" s="135"/>
      <c r="AK164" s="183"/>
      <c r="AL164" s="183"/>
      <c r="AM164" s="133" t="str">
        <f>IF([11]回答表!F17="下水道事業",IF([11]回答表!AD45="●",[11]回答表!B295,""),"")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IF([11]回答表!BD17="●",IF([11]回答表!X45="●","●",""),"")</f>
        <v/>
      </c>
      <c r="O176" s="131"/>
      <c r="P176" s="131"/>
      <c r="Q176" s="132"/>
      <c r="R176" s="119"/>
      <c r="S176" s="119"/>
      <c r="T176" s="119"/>
      <c r="U176" s="133" t="str">
        <f>IF([11]回答表!BD17="●",IF([11]回答表!X45="●",[11]回答表!B158,IF([11]回答表!AA45="●",[11]回答表!B223,"")),"")</f>
        <v/>
      </c>
      <c r="V176" s="134"/>
      <c r="W176" s="134"/>
      <c r="X176" s="134"/>
      <c r="Y176" s="134"/>
      <c r="Z176" s="134"/>
      <c r="AA176" s="134"/>
      <c r="AB176" s="134"/>
      <c r="AC176" s="134"/>
      <c r="AD176" s="134"/>
      <c r="AE176" s="134"/>
      <c r="AF176" s="134"/>
      <c r="AG176" s="134"/>
      <c r="AH176" s="134"/>
      <c r="AI176" s="134"/>
      <c r="AJ176" s="135"/>
      <c r="AK176" s="136"/>
      <c r="AL176" s="136"/>
      <c r="AM176" s="138" t="str">
        <f>IF([11]回答表!BD17="●",IF([11]回答表!X45="●",[11]回答表!B212,IF([11]回答表!AA45="●",[11]回答表!B278,"")),"")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IF([11]回答表!BD17="●",IF([11]回答表!X45="●",[11]回答表!E212,IF([11]回答表!AA45="●",[11]回答表!E278,"")),"")</f>
        <v/>
      </c>
      <c r="AN179" s="151"/>
      <c r="AO179" s="151"/>
      <c r="AP179" s="151"/>
      <c r="AQ179" s="150" t="str">
        <f>IF([11]回答表!BD17="●",IF([11]回答表!X45="●",[11]回答表!E213,IF([11]回答表!AA45="●",[11]回答表!E279,"")),"")</f>
        <v/>
      </c>
      <c r="AR179" s="151"/>
      <c r="AS179" s="151"/>
      <c r="AT179" s="151"/>
      <c r="AU179" s="150" t="str">
        <f>IF([11]回答表!BD17="●",IF([11]回答表!X45="●",[11]回答表!E214,IF([11]回答表!AA45="●",[11]回答表!E280,"")),"")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IF([11]回答表!BD17="●",IF([11]回答表!AA45="●","●",""),"")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IF([11]回答表!BD17="●",IF([11]回答表!AD45="●","●",""),"")</f>
        <v/>
      </c>
      <c r="O188" s="131"/>
      <c r="P188" s="131"/>
      <c r="Q188" s="132"/>
      <c r="R188" s="119"/>
      <c r="S188" s="119"/>
      <c r="T188" s="119"/>
      <c r="U188" s="133" t="str">
        <f>IF([11]回答表!BD17="●",IF([11]回答表!AD45="●",[11]回答表!B289,""),"")</f>
        <v/>
      </c>
      <c r="V188" s="134"/>
      <c r="W188" s="134"/>
      <c r="X188" s="134"/>
      <c r="Y188" s="134"/>
      <c r="Z188" s="134"/>
      <c r="AA188" s="134"/>
      <c r="AB188" s="134"/>
      <c r="AC188" s="134"/>
      <c r="AD188" s="134"/>
      <c r="AE188" s="134"/>
      <c r="AF188" s="134"/>
      <c r="AG188" s="134"/>
      <c r="AH188" s="134"/>
      <c r="AI188" s="134"/>
      <c r="AJ188" s="135"/>
      <c r="AK188" s="183"/>
      <c r="AL188" s="183"/>
      <c r="AM188" s="133" t="str">
        <f>IF([11]回答表!BD17="●",IF([11]回答表!AD45="●",[11]回答表!B295,""),"")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IF([11]回答表!X46="●","●","")</f>
        <v/>
      </c>
      <c r="O200" s="131"/>
      <c r="P200" s="131"/>
      <c r="Q200" s="132"/>
      <c r="R200" s="119"/>
      <c r="S200" s="119"/>
      <c r="T200" s="119"/>
      <c r="U200" s="133" t="str">
        <f>IF([11]回答表!X46="●",[11]回答表!B307,IF([11]回答表!AA46="●",[11]回答表!B324,""))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IF([11]回答表!X46="●",[11]回答表!U313,IF([11]回答表!AA46="●",[11]回答表!U330,""))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IF([11]回答表!X46="●",[11]回答表!G313,IF([11]回答表!AA46="●",[11]回答表!G330,""))</f>
        <v/>
      </c>
      <c r="AN203" s="83"/>
      <c r="AO203" s="83"/>
      <c r="AP203" s="83"/>
      <c r="AQ203" s="83"/>
      <c r="AR203" s="83"/>
      <c r="AS203" s="83"/>
      <c r="AT203" s="153"/>
      <c r="AU203" s="82" t="str">
        <f>IF([11]回答表!X46="●",[11]回答表!G314,IF([11]回答表!AA46="●",[11]回答表!G331,""))</f>
        <v/>
      </c>
      <c r="AV203" s="83"/>
      <c r="AW203" s="83"/>
      <c r="AX203" s="83"/>
      <c r="AY203" s="83"/>
      <c r="AZ203" s="83"/>
      <c r="BA203" s="83"/>
      <c r="BB203" s="153"/>
      <c r="BC203" s="120"/>
      <c r="BD203" s="109"/>
      <c r="BE203" s="109"/>
      <c r="BF203" s="150" t="str">
        <f>IF([11]回答表!X46="●",[11]回答表!X313,IF([11]回答表!AA46="●",[11]回答表!X330,""))</f>
        <v/>
      </c>
      <c r="BG203" s="151"/>
      <c r="BH203" s="151"/>
      <c r="BI203" s="151"/>
      <c r="BJ203" s="150" t="str">
        <f>IF([11]回答表!X46="●",[11]回答表!X314,IF([11]回答表!AA46="●",[11]回答表!X331,""))</f>
        <v/>
      </c>
      <c r="BK203" s="151"/>
      <c r="BL203" s="151"/>
      <c r="BM203" s="152"/>
      <c r="BN203" s="150" t="str">
        <f>IF([11]回答表!X46="●",[11]回答表!X315,IF([11]回答表!AA46="●",[11]回答表!X332,""))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IF([11]回答表!AD46="●","●","")</f>
        <v/>
      </c>
      <c r="O212" s="131"/>
      <c r="P212" s="131"/>
      <c r="Q212" s="132"/>
      <c r="R212" s="119"/>
      <c r="S212" s="119"/>
      <c r="T212" s="119"/>
      <c r="U212" s="133" t="str">
        <f>IF([11]回答表!AD46="●",[11]回答表!B337,"")</f>
        <v/>
      </c>
      <c r="V212" s="134"/>
      <c r="W212" s="134"/>
      <c r="X212" s="134"/>
      <c r="Y212" s="134"/>
      <c r="Z212" s="134"/>
      <c r="AA212" s="134"/>
      <c r="AB212" s="134"/>
      <c r="AC212" s="134"/>
      <c r="AD212" s="134"/>
      <c r="AE212" s="134"/>
      <c r="AF212" s="134"/>
      <c r="AG212" s="134"/>
      <c r="AH212" s="134"/>
      <c r="AI212" s="134"/>
      <c r="AJ212" s="135"/>
      <c r="AK212" s="259"/>
      <c r="AL212" s="259"/>
      <c r="AM212" s="133" t="str">
        <f>IF([11]回答表!AD46="●",[11]回答表!B343,"")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IF([11]回答表!X47="●","●","")</f>
        <v/>
      </c>
      <c r="O224" s="131"/>
      <c r="P224" s="131"/>
      <c r="Q224" s="132"/>
      <c r="R224" s="119"/>
      <c r="S224" s="119"/>
      <c r="T224" s="119"/>
      <c r="U224" s="133" t="str">
        <f>IF([11]回答表!X47="●",[11]回答表!B356,IF([11]回答表!AA47="●",[11]回答表!B379,""))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IF([11]回答表!X47="●",[11]回答表!B362,"")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IF([11]回答表!X47="●",[11]回答表!B368,IF([11]回答表!AA47="●",[11]回答表!B385,""))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IF([11]回答表!X47="●",[11]回答表!E368,IF([11]回答表!AA47="●",[11]回答表!E385,""))</f>
        <v/>
      </c>
      <c r="BG227" s="151"/>
      <c r="BH227" s="151"/>
      <c r="BI227" s="151"/>
      <c r="BJ227" s="150" t="str">
        <f>IF([11]回答表!X47="●",[11]回答表!E369,IF([11]回答表!AA47="●",[11]回答表!E386,""))</f>
        <v/>
      </c>
      <c r="BK227" s="151"/>
      <c r="BL227" s="151"/>
      <c r="BM227" s="152"/>
      <c r="BN227" s="150" t="str">
        <f>IF([11]回答表!X47="●",[11]回答表!E370,IF([11]回答表!AA47="●",[11]回答表!E387,""))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IF([11]回答表!AD47="●","●","")</f>
        <v/>
      </c>
      <c r="O236" s="131"/>
      <c r="P236" s="131"/>
      <c r="Q236" s="132"/>
      <c r="R236" s="119"/>
      <c r="S236" s="119"/>
      <c r="T236" s="119"/>
      <c r="U236" s="133" t="str">
        <f>IF([11]回答表!AD47="●",[11]回答表!B392,"")</f>
        <v/>
      </c>
      <c r="V236" s="134"/>
      <c r="W236" s="134"/>
      <c r="X236" s="134"/>
      <c r="Y236" s="134"/>
      <c r="Z236" s="134"/>
      <c r="AA236" s="134"/>
      <c r="AB236" s="134"/>
      <c r="AC236" s="134"/>
      <c r="AD236" s="134"/>
      <c r="AE236" s="134"/>
      <c r="AF236" s="134"/>
      <c r="AG236" s="134"/>
      <c r="AH236" s="134"/>
      <c r="AI236" s="134"/>
      <c r="AJ236" s="135"/>
      <c r="AK236" s="259"/>
      <c r="AL236" s="259"/>
      <c r="AM236" s="133" t="str">
        <f>IF([11]回答表!AD47="●",[11]回答表!B398,"")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IF([11]回答表!X48="●","●","")</f>
        <v/>
      </c>
      <c r="O248" s="131"/>
      <c r="P248" s="131"/>
      <c r="Q248" s="132"/>
      <c r="R248" s="119"/>
      <c r="S248" s="119"/>
      <c r="T248" s="119"/>
      <c r="U248" s="133" t="str">
        <f>IF([11]回答表!X48="●",[11]回答表!B411,IF([11]回答表!AA48="●",[11]回答表!B425,""))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IF([11]回答表!X48="●",[11]回答表!BC418,IF([11]回答表!AA48="●",[11]回答表!BC432,""))</f>
        <v/>
      </c>
      <c r="AR248" s="272"/>
      <c r="AS248" s="272"/>
      <c r="AT248" s="272"/>
      <c r="AU248" s="273" t="s">
        <v>73</v>
      </c>
      <c r="AV248" s="274"/>
      <c r="AW248" s="274"/>
      <c r="AX248" s="275"/>
      <c r="AY248" s="272" t="str">
        <f>IF([11]回答表!X48="●",[11]回答表!BC423,IF([11]回答表!AA48="●",[11]回答表!BC437,""))</f>
        <v/>
      </c>
      <c r="AZ248" s="272"/>
      <c r="BA248" s="272"/>
      <c r="BB248" s="272"/>
      <c r="BC248" s="120"/>
      <c r="BD248" s="109"/>
      <c r="BE248" s="109"/>
      <c r="BF248" s="138" t="str">
        <f>IF([11]回答表!X48="●",[11]回答表!S417,IF([11]回答表!AA48="●",[11]回答表!S431,""))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IF([11]回答表!X48="●",[11]回答表!BC419,IF([11]回答表!AA48="●",[11]回答表!BC433,""))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IF([11]回答表!X48="●",[11]回答表!V417,IF([11]回答表!AA48="●",[11]回答表!V431,""))</f>
        <v/>
      </c>
      <c r="BG251" s="151"/>
      <c r="BH251" s="151"/>
      <c r="BI251" s="151"/>
      <c r="BJ251" s="150" t="str">
        <f>IF([11]回答表!X48="●",[11]回答表!V418,IF([11]回答表!AA48="●",[11]回答表!V432,""))</f>
        <v/>
      </c>
      <c r="BK251" s="151"/>
      <c r="BL251" s="151"/>
      <c r="BM251" s="152"/>
      <c r="BN251" s="150" t="str">
        <f>IF([11]回答表!X48="●",[11]回答表!V419,IF([11]回答表!AA48="●",[11]回答表!V433,""))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IF([11]回答表!X48="●",[11]回答表!BC420,IF([11]回答表!AA48="●",[11]回答表!BC434,""))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IF([11]回答表!X48="●",[11]回答表!BC424,IF([11]回答表!AA48="●",[11]回答表!BC438,""))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IF([11]回答表!X48="●",[11]回答表!BC421,IF([11]回答表!AA48="●",[11]回答表!BC435,""))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IF([11]回答表!X48="●",[11]回答表!BC422,IF([11]回答表!AA48="●",[11]回答表!BC436,""))</f>
        <v/>
      </c>
      <c r="AR256" s="272"/>
      <c r="AS256" s="272"/>
      <c r="AT256" s="272"/>
      <c r="AU256" s="224" t="s">
        <v>79</v>
      </c>
      <c r="AV256" s="225"/>
      <c r="AW256" s="225"/>
      <c r="AX256" s="226"/>
      <c r="AY256" s="282" t="str">
        <f>IF([11]回答表!X48="●",[11]回答表!BC425,IF([11]回答表!AA48="●",[11]回答表!BC439,""))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IF([11]回答表!AD48="●","●","")</f>
        <v/>
      </c>
      <c r="O260" s="131"/>
      <c r="P260" s="131"/>
      <c r="Q260" s="132"/>
      <c r="R260" s="119"/>
      <c r="S260" s="119"/>
      <c r="T260" s="119"/>
      <c r="U260" s="133" t="str">
        <f>IF([11]回答表!AD48="●",[11]回答表!B439,"")</f>
        <v/>
      </c>
      <c r="V260" s="134"/>
      <c r="W260" s="134"/>
      <c r="X260" s="134"/>
      <c r="Y260" s="134"/>
      <c r="Z260" s="134"/>
      <c r="AA260" s="134"/>
      <c r="AB260" s="134"/>
      <c r="AC260" s="134"/>
      <c r="AD260" s="134"/>
      <c r="AE260" s="134"/>
      <c r="AF260" s="134"/>
      <c r="AG260" s="134"/>
      <c r="AH260" s="134"/>
      <c r="AI260" s="134"/>
      <c r="AJ260" s="135"/>
      <c r="AK260" s="183"/>
      <c r="AL260" s="183"/>
      <c r="AM260" s="133" t="str">
        <f>IF([11]回答表!AD48="●",[11]回答表!B445,"")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IF([11]回答表!X49="●","●","")</f>
        <v/>
      </c>
      <c r="O271" s="131"/>
      <c r="P271" s="131"/>
      <c r="Q271" s="132"/>
      <c r="R271" s="119"/>
      <c r="S271" s="119"/>
      <c r="T271" s="119"/>
      <c r="U271" s="133" t="str">
        <f>IF([11]回答表!X49="●",[11]回答表!B458,IF([11]回答表!AA49="●",[11]回答表!B475,""))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IF([11]回答表!X49="●",[11]回答表!B468,IF([11]回答表!AA49="●",[11]回答表!B485,""))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IF([11]回答表!X49="●",[11]回答表!G464,IF([11]回答表!AA49="●",[11]回答表!G481,""))</f>
        <v/>
      </c>
      <c r="AN273" s="83"/>
      <c r="AO273" s="83"/>
      <c r="AP273" s="83"/>
      <c r="AQ273" s="83"/>
      <c r="AR273" s="83"/>
      <c r="AS273" s="83"/>
      <c r="AT273" s="153"/>
      <c r="AU273" s="82" t="str">
        <f>IF([11]回答表!X49="●",[11]回答表!G465,IF([11]回答表!AA49="●",[11]回答表!G482,""))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IF([11]回答表!X49="●",[11]回答表!E468,IF([11]回答表!AA49="●",[11]回答表!E485,""))</f>
        <v/>
      </c>
      <c r="BG274" s="151"/>
      <c r="BH274" s="151"/>
      <c r="BI274" s="151"/>
      <c r="BJ274" s="150" t="str">
        <f>IF([11]回答表!X49="●",[11]回答表!E469,IF([11]回答表!AA49="●",[11]回答表!E486,""))</f>
        <v/>
      </c>
      <c r="BK274" s="151"/>
      <c r="BL274" s="151"/>
      <c r="BM274" s="152"/>
      <c r="BN274" s="150" t="str">
        <f>IF([11]回答表!X49="●",[11]回答表!E470,IF([11]回答表!AA49="●",[11]回答表!E487,""))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IF([11]回答表!AD49="●","●","")</f>
        <v/>
      </c>
      <c r="O283" s="131"/>
      <c r="P283" s="131"/>
      <c r="Q283" s="132"/>
      <c r="R283" s="119"/>
      <c r="S283" s="119"/>
      <c r="T283" s="119"/>
      <c r="U283" s="133" t="str">
        <f>IF([11]回答表!AD49="●",[11]回答表!B492,"")</f>
        <v/>
      </c>
      <c r="V283" s="134"/>
      <c r="W283" s="134"/>
      <c r="X283" s="134"/>
      <c r="Y283" s="134"/>
      <c r="Z283" s="134"/>
      <c r="AA283" s="134"/>
      <c r="AB283" s="134"/>
      <c r="AC283" s="134"/>
      <c r="AD283" s="134"/>
      <c r="AE283" s="134"/>
      <c r="AF283" s="134"/>
      <c r="AG283" s="134"/>
      <c r="AH283" s="134"/>
      <c r="AI283" s="134"/>
      <c r="AJ283" s="135"/>
      <c r="AK283" s="136"/>
      <c r="AL283" s="136"/>
      <c r="AM283" s="133" t="str">
        <f>IF([11]回答表!AD49="●",[11]回答表!B498,"")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IF([11]回答表!R50="●",[11]回答表!B511,"")</f>
        <v>　本事業は、市外等からの企業を誘致するために団地を整備し、完成後は、原則、原価主義による販売単価で売却するため、収支均衡で歳入・支出とも限定的であり、現行の経営体制・手法で事業運営が実施できる見込みであるため。
　なお、現在は造成工事施工中で、令和３年度末の完成後、令和４年度から売却予定である。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9" priority="2">
      <formula>$BB$25="○"</formula>
    </cfRule>
  </conditionalFormatting>
  <conditionalFormatting sqref="BD28:BD30">
    <cfRule type="expression" dxfId="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6059D-0443-489C-A30E-0273D7936A26}">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IF(COUNTIF([12]回答表!K15,"*")&gt;0,[12]回答表!K15,"")</f>
        <v>大仙市</v>
      </c>
      <c r="D11" s="8"/>
      <c r="E11" s="8"/>
      <c r="F11" s="8"/>
      <c r="G11" s="8"/>
      <c r="H11" s="8"/>
      <c r="I11" s="8"/>
      <c r="J11" s="8"/>
      <c r="K11" s="8"/>
      <c r="L11" s="8"/>
      <c r="M11" s="8"/>
      <c r="N11" s="8"/>
      <c r="O11" s="8"/>
      <c r="P11" s="8"/>
      <c r="Q11" s="8"/>
      <c r="R11" s="8"/>
      <c r="S11" s="8"/>
      <c r="T11" s="8"/>
      <c r="U11" s="22" t="str">
        <f>IF(COUNTIF([12]回答表!F17,"*")&gt;0,[12]回答表!F17,"")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IF(COUNTIF([12]回答表!W17,"*")&gt;0,[12]回答表!W17,"")</f>
        <v>指定介護老人福祉施設</v>
      </c>
      <c r="AP11" s="10"/>
      <c r="AQ11" s="10"/>
      <c r="AR11" s="10"/>
      <c r="AS11" s="10"/>
      <c r="AT11" s="10"/>
      <c r="AU11" s="10"/>
      <c r="AV11" s="10"/>
      <c r="AW11" s="10"/>
      <c r="AX11" s="10"/>
      <c r="AY11" s="10"/>
      <c r="AZ11" s="10"/>
      <c r="BA11" s="10"/>
      <c r="BB11" s="10"/>
      <c r="BC11" s="10"/>
      <c r="BD11" s="10"/>
      <c r="BE11" s="10"/>
      <c r="BF11" s="11"/>
      <c r="BG11" s="21" t="str">
        <f>IF(COUNTIF([12]回答表!F19,"*")&gt;0,[12]回答表!F19,"")</f>
        <v>介護老人福祉施設介護サービス事業特別会計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IF([12]回答表!R43="●","●","")</f>
        <v/>
      </c>
      <c r="E24" s="80"/>
      <c r="F24" s="80"/>
      <c r="G24" s="80"/>
      <c r="H24" s="80"/>
      <c r="I24" s="80"/>
      <c r="J24" s="81"/>
      <c r="K24" s="79" t="str">
        <f>IF([12]回答表!R44="●","●","")</f>
        <v>●</v>
      </c>
      <c r="L24" s="80"/>
      <c r="M24" s="80"/>
      <c r="N24" s="80"/>
      <c r="O24" s="80"/>
      <c r="P24" s="80"/>
      <c r="Q24" s="81"/>
      <c r="R24" s="79" t="str">
        <f>IF([12]回答表!R45="●","●","")</f>
        <v/>
      </c>
      <c r="S24" s="80"/>
      <c r="T24" s="80"/>
      <c r="U24" s="80"/>
      <c r="V24" s="80"/>
      <c r="W24" s="80"/>
      <c r="X24" s="81"/>
      <c r="Y24" s="79" t="str">
        <f>IF([12]回答表!R46="●","●","")</f>
        <v/>
      </c>
      <c r="Z24" s="80"/>
      <c r="AA24" s="80"/>
      <c r="AB24" s="80"/>
      <c r="AC24" s="80"/>
      <c r="AD24" s="80"/>
      <c r="AE24" s="81"/>
      <c r="AF24" s="79" t="str">
        <f>IF([12]回答表!R47="●","●","")</f>
        <v/>
      </c>
      <c r="AG24" s="80"/>
      <c r="AH24" s="80"/>
      <c r="AI24" s="80"/>
      <c r="AJ24" s="80"/>
      <c r="AK24" s="80"/>
      <c r="AL24" s="81"/>
      <c r="AM24" s="79" t="str">
        <f>IF([12]回答表!R48="●","●","")</f>
        <v/>
      </c>
      <c r="AN24" s="80"/>
      <c r="AO24" s="80"/>
      <c r="AP24" s="80"/>
      <c r="AQ24" s="80"/>
      <c r="AR24" s="80"/>
      <c r="AS24" s="81"/>
      <c r="AT24" s="79" t="str">
        <f>IF([12]回答表!R49="●","●","")</f>
        <v/>
      </c>
      <c r="AU24" s="80"/>
      <c r="AV24" s="80"/>
      <c r="AW24" s="80"/>
      <c r="AX24" s="80"/>
      <c r="AY24" s="80"/>
      <c r="AZ24" s="81"/>
      <c r="BA24" s="68"/>
      <c r="BB24" s="82" t="str">
        <f>IF([12]回答表!R50="●","●","")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IF([12]回答表!X43="●","●","")</f>
        <v/>
      </c>
      <c r="O36" s="131"/>
      <c r="P36" s="131"/>
      <c r="Q36" s="132"/>
      <c r="R36" s="119"/>
      <c r="S36" s="119"/>
      <c r="T36" s="119"/>
      <c r="U36" s="133" t="str">
        <f>IF([12]回答表!X43="●",[12]回答表!B59,IF([12]回答表!AA43="●",[12]回答表!B79,""))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IF([12]回答表!X43="●",[12]回答表!S65,IF([12]回答表!AA43="●",[12]回答表!S85,""))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IF([12]回答表!X43="●",[12]回答表!G65,IF([12]回答表!AA43="●",[12]回答表!G85,""))</f>
        <v/>
      </c>
      <c r="AN38" s="83"/>
      <c r="AO38" s="83"/>
      <c r="AP38" s="83"/>
      <c r="AQ38" s="83"/>
      <c r="AR38" s="83"/>
      <c r="AS38" s="83"/>
      <c r="AT38" s="153"/>
      <c r="AU38" s="82" t="str">
        <f>IF([12]回答表!X43="●",[12]回答表!G66,IF([12]回答表!AA43="●",[12]回答表!G86,""))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IF([12]回答表!X43="●",[12]回答表!V65,IF([12]回答表!AA43="●",[12]回答表!V85,""))</f>
        <v/>
      </c>
      <c r="BG39" s="16"/>
      <c r="BH39" s="16"/>
      <c r="BI39" s="17"/>
      <c r="BJ39" s="150" t="str">
        <f>IF([12]回答表!X43="●",[12]回答表!V66,IF([12]回答表!AA43="●",[12]回答表!V86,""))</f>
        <v/>
      </c>
      <c r="BK39" s="16"/>
      <c r="BL39" s="16"/>
      <c r="BM39" s="17"/>
      <c r="BN39" s="150" t="str">
        <f>IF([12]回答表!X43="●",[12]回答表!V67,IF([12]回答表!AA43="●",[12]回答表!V87,""))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IF([12]回答表!X43="●",[12]回答表!O71,IF([12]回答表!AA43="●",[12]回答表!O91,""))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IF([12]回答表!X43="●",[12]回答表!O72,IF([12]回答表!AA43="●",[12]回答表!O92,""))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IF([12]回答表!X43="●",[12]回答表!O73,IF([12]回答表!AA43="●",[12]回答表!O93,""))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IF([12]回答表!X43="●",[12]回答表!O74,IF([12]回答表!AA43="●",[12]回答表!O94,""))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IF([12]回答表!X43="●",[12]回答表!AG71,IF([12]回答表!AA43="●",[12]回答表!AG91,""))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IF([12]回答表!X43="●",[12]回答表!AG72,IF([12]回答表!AA43="●",[12]回答表!AG92,""))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IF([12]回答表!AD43="●","●","")</f>
        <v/>
      </c>
      <c r="O51" s="131"/>
      <c r="P51" s="131"/>
      <c r="Q51" s="132"/>
      <c r="R51" s="119"/>
      <c r="S51" s="119"/>
      <c r="T51" s="119"/>
      <c r="U51" s="133" t="str">
        <f>IF([12]回答表!AD43="●",[12]回答表!B99,"")</f>
        <v/>
      </c>
      <c r="V51" s="134"/>
      <c r="W51" s="134"/>
      <c r="X51" s="134"/>
      <c r="Y51" s="134"/>
      <c r="Z51" s="134"/>
      <c r="AA51" s="134"/>
      <c r="AB51" s="134"/>
      <c r="AC51" s="134"/>
      <c r="AD51" s="134"/>
      <c r="AE51" s="134"/>
      <c r="AF51" s="134"/>
      <c r="AG51" s="134"/>
      <c r="AH51" s="134"/>
      <c r="AI51" s="134"/>
      <c r="AJ51" s="135"/>
      <c r="AK51" s="183"/>
      <c r="AL51" s="183"/>
      <c r="AM51" s="133" t="str">
        <f>IF([12]回答表!AD43="●",[12]回答表!B104,"")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IF([12]回答表!X44="●","●","")</f>
        <v>●</v>
      </c>
      <c r="O62" s="131"/>
      <c r="P62" s="131"/>
      <c r="Q62" s="132"/>
      <c r="R62" s="119"/>
      <c r="S62" s="119"/>
      <c r="T62" s="119"/>
      <c r="U62" s="133" t="str">
        <f>IF([12]回答表!X44="●",[12]回答表!B115,IF([12]回答表!AA44="●",[12]回答表!B127,""))</f>
        <v>市立の介護保険施設を法人へ移譲、民営化したことにより、人件費の削減につながった。（人件費35,473千円の減）</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IF([12]回答表!X44="●",[12]回答表!S121,IF([12]回答表!AA44="●",[12]回答表!S133,""))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IF([12]回答表!X44="●",[12]回答表!J121,IF([12]回答表!AA44="●",[12]回答表!J133,""))</f>
        <v>●</v>
      </c>
      <c r="AN65" s="83"/>
      <c r="AO65" s="83"/>
      <c r="AP65" s="83"/>
      <c r="AQ65" s="83"/>
      <c r="AR65" s="83"/>
      <c r="AS65" s="83"/>
      <c r="AT65" s="153"/>
      <c r="AU65" s="82" t="str">
        <f>IF([12]回答表!X44="●",[12]回答表!J122,IF([12]回答表!AA44="●",[12]回答表!J134,""))</f>
        <v xml:space="preserve"> </v>
      </c>
      <c r="AV65" s="83"/>
      <c r="AW65" s="83"/>
      <c r="AX65" s="83"/>
      <c r="AY65" s="83"/>
      <c r="AZ65" s="83"/>
      <c r="BA65" s="83"/>
      <c r="BB65" s="153"/>
      <c r="BC65" s="120"/>
      <c r="BD65" s="109"/>
      <c r="BE65" s="109"/>
      <c r="BF65" s="150">
        <f>IF([12]回答表!X44="●",[12]回答表!V121,IF([12]回答表!AA44="●",[12]回答表!V133,""))</f>
        <v>23</v>
      </c>
      <c r="BG65" s="151"/>
      <c r="BH65" s="151"/>
      <c r="BI65" s="151"/>
      <c r="BJ65" s="150">
        <f>IF([12]回答表!X44="●",[12]回答表!V122,IF([12]回答表!AA44="●",[12]回答表!V134,""))</f>
        <v>4</v>
      </c>
      <c r="BK65" s="151"/>
      <c r="BL65" s="151"/>
      <c r="BM65" s="151"/>
      <c r="BN65" s="150">
        <f>IF([12]回答表!X44="●",[12]回答表!V123,IF([12]回答表!AA44="●",[12]回答表!V135,""))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IF([12]回答表!AD44="●","●","")</f>
        <v/>
      </c>
      <c r="O74" s="131"/>
      <c r="P74" s="131"/>
      <c r="Q74" s="132"/>
      <c r="R74" s="119"/>
      <c r="S74" s="119"/>
      <c r="T74" s="119"/>
      <c r="U74" s="133" t="str">
        <f>IF([12]回答表!AD44="●",[12]回答表!B140,"")</f>
        <v/>
      </c>
      <c r="V74" s="134"/>
      <c r="W74" s="134"/>
      <c r="X74" s="134"/>
      <c r="Y74" s="134"/>
      <c r="Z74" s="134"/>
      <c r="AA74" s="134"/>
      <c r="AB74" s="134"/>
      <c r="AC74" s="134"/>
      <c r="AD74" s="134"/>
      <c r="AE74" s="134"/>
      <c r="AF74" s="134"/>
      <c r="AG74" s="134"/>
      <c r="AH74" s="134"/>
      <c r="AI74" s="134"/>
      <c r="AJ74" s="135"/>
      <c r="AK74" s="183"/>
      <c r="AL74" s="183"/>
      <c r="AM74" s="133" t="str">
        <f>IF([12]回答表!AD44="●",[12]回答表!B146,"")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IF([12]回答表!F17="水道事業",IF([12]回答表!X45="●","●",""),"")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IF([12]回答表!F17="水道事業",IF([12]回答表!X45="●",[12]回答表!B158,IF([12]回答表!AA45="●",[12]回答表!B223,"")),"")</f>
        <v/>
      </c>
      <c r="AN86" s="201"/>
      <c r="AO86" s="201"/>
      <c r="AP86" s="201"/>
      <c r="AQ86" s="201"/>
      <c r="AR86" s="201"/>
      <c r="AS86" s="201"/>
      <c r="AT86" s="201"/>
      <c r="AU86" s="201"/>
      <c r="AV86" s="201"/>
      <c r="AW86" s="201"/>
      <c r="AX86" s="201"/>
      <c r="AY86" s="201"/>
      <c r="AZ86" s="201"/>
      <c r="BA86" s="201"/>
      <c r="BB86" s="201"/>
      <c r="BC86" s="202"/>
      <c r="BD86" s="109"/>
      <c r="BE86" s="109"/>
      <c r="BF86" s="138" t="str">
        <f>IF([12]回答表!F17="水道事業",IF([12]回答表!X45="●",[12]回答表!B212,IF([12]回答表!AA45="●",[12]回答表!B278,"")),"")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IF([12]回答表!F17="水道事業",IF([12]回答表!X45="●",[12]回答表!J166,IF([12]回答表!AA45="●",[12]回答表!J231,"")),"")</f>
        <v/>
      </c>
      <c r="V88" s="83"/>
      <c r="W88" s="83"/>
      <c r="X88" s="83"/>
      <c r="Y88" s="83"/>
      <c r="Z88" s="83"/>
      <c r="AA88" s="83"/>
      <c r="AB88" s="153"/>
      <c r="AC88" s="82" t="str">
        <f>IF([12]回答表!F17="水道事業",IF([12]回答表!X45="●",[12]回答表!J173,IF([12]回答表!AA45="●",[12]回答表!J238,"")),"")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IF([12]回答表!F17="水道事業",IF([12]回答表!X45="●",[12]回答表!E212,IF([12]回答表!AA45="●",[12]回答表!E278,"")),"")</f>
        <v/>
      </c>
      <c r="BG89" s="151"/>
      <c r="BH89" s="151"/>
      <c r="BI89" s="151"/>
      <c r="BJ89" s="150" t="str">
        <f>IF([12]回答表!F17="水道事業",IF([12]回答表!X45="●",[12]回答表!E213,IF([12]回答表!AA45="●",[12]回答表!E279,"")),"")</f>
        <v/>
      </c>
      <c r="BK89" s="151"/>
      <c r="BL89" s="151"/>
      <c r="BM89" s="151"/>
      <c r="BN89" s="150" t="str">
        <f>IF([12]回答表!F17="水道事業",IF([12]回答表!X45="●",[12]回答表!E214,IF([12]回答表!AA45="●",[12]回答表!E280,"")),"")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IF([12]回答表!F17="水道事業",IF([12]回答表!AA45="●","●",""),"")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IF([12]回答表!F17="水道事業",IF([12]回答表!X45="●",[12]回答表!J176,IF([12]回答表!AA45="●",[12]回答表!J241,"")),"")</f>
        <v/>
      </c>
      <c r="V93" s="83"/>
      <c r="W93" s="83"/>
      <c r="X93" s="83"/>
      <c r="Y93" s="83"/>
      <c r="Z93" s="83"/>
      <c r="AA93" s="83"/>
      <c r="AB93" s="153"/>
      <c r="AC93" s="82" t="str">
        <f>IF([12]回答表!F17="水道事業",IF([12]回答表!X45="●",[12]回答表!J180,IF([12]回答表!AA45="●",[12]回答表!J245,"")),"")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IF([12]回答表!F17="水道事業",IF([12]回答表!AD45="○","○",""),"")</f>
        <v/>
      </c>
      <c r="O98" s="131"/>
      <c r="P98" s="131"/>
      <c r="Q98" s="132"/>
      <c r="R98" s="119"/>
      <c r="S98" s="119"/>
      <c r="T98" s="119"/>
      <c r="U98" s="133" t="str">
        <f>IF([12]回答表!F17="水道事業",IF([12]回答表!AD45="●",[12]回答表!B289,""),"")</f>
        <v/>
      </c>
      <c r="V98" s="134"/>
      <c r="W98" s="134"/>
      <c r="X98" s="134"/>
      <c r="Y98" s="134"/>
      <c r="Z98" s="134"/>
      <c r="AA98" s="134"/>
      <c r="AB98" s="134"/>
      <c r="AC98" s="134"/>
      <c r="AD98" s="134"/>
      <c r="AE98" s="134"/>
      <c r="AF98" s="134"/>
      <c r="AG98" s="134"/>
      <c r="AH98" s="134"/>
      <c r="AI98" s="134"/>
      <c r="AJ98" s="135"/>
      <c r="AK98" s="183"/>
      <c r="AL98" s="183"/>
      <c r="AM98" s="133" t="str">
        <f>IF([12]回答表!F17="水道事業",IF([12]回答表!AD45="●",[12]回答表!B295,""),"")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IF([12]回答表!F17="簡易水道事業",IF([12]回答表!X45="●",[12]回答表!B158,IF([12]回答表!AA45="●",[12]回答表!B223,"")),"")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IF([12]回答表!F17="簡易水道事業",IF([12]回答表!X45="●",[12]回答表!B212,IF([12]回答表!AA45="●",[12]回答表!B278,"")),"")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IF([12]回答表!F17="簡易水道事業",IF([12]回答表!X45="●","●",""),"")</f>
        <v/>
      </c>
      <c r="O112" s="131"/>
      <c r="P112" s="131"/>
      <c r="Q112" s="132"/>
      <c r="R112" s="119"/>
      <c r="S112" s="119"/>
      <c r="T112" s="119"/>
      <c r="U112" s="82" t="str">
        <f>IF([12]回答表!F17="簡易水道事業",IF([12]回答表!X45="●",[12]回答表!Y185,IF([12]回答表!AA45="●",[12]回答表!Y251,"")),"")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IF([12]回答表!F17="簡易水道事業",IF([12]回答表!X45="●",[12]回答表!E212,IF([12]回答表!AA45="●",[12]回答表!E278,"")),"")</f>
        <v/>
      </c>
      <c r="BG113" s="151"/>
      <c r="BH113" s="151"/>
      <c r="BI113" s="151"/>
      <c r="BJ113" s="150" t="str">
        <f>IF([12]回答表!F17="簡易水道事業",IF([12]回答表!X45="●",[12]回答表!E213,IF([12]回答表!AA45="●",[12]回答表!E279,"")),"")</f>
        <v/>
      </c>
      <c r="BK113" s="151"/>
      <c r="BL113" s="151"/>
      <c r="BM113" s="151"/>
      <c r="BN113" s="150" t="str">
        <f>IF([12]回答表!F17="簡易水道事業",IF([12]回答表!X45="●",[12]回答表!E214,IF([12]回答表!AA45="●",[12]回答表!E280,"")),"")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IF([12]回答表!F17="簡易水道事業",IF([12]回答表!X45="●",[12]回答表!Y186,IF([12]回答表!AA45="●",[12]回答表!Y252,"")),"")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IF([12]回答表!F17="簡易水道事業",IF([12]回答表!AA45="●","●",""),"")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IF([12]回答表!F17="簡易水道事業",IF([12]回答表!X45="●",[12]回答表!Y187,IF([12]回答表!AA45="●",[12]回答表!Y253,"")),"")</f>
        <v/>
      </c>
      <c r="V122" s="83"/>
      <c r="W122" s="83"/>
      <c r="X122" s="83"/>
      <c r="Y122" s="83"/>
      <c r="Z122" s="83"/>
      <c r="AA122" s="83"/>
      <c r="AB122" s="83"/>
      <c r="AC122" s="83"/>
      <c r="AD122" s="83"/>
      <c r="AE122" s="83"/>
      <c r="AF122" s="83"/>
      <c r="AG122" s="83"/>
      <c r="AH122" s="83"/>
      <c r="AI122" s="83"/>
      <c r="AJ122" s="153"/>
      <c r="AK122" s="68"/>
      <c r="AL122" s="68"/>
      <c r="AM122" s="233" t="str">
        <f>IF([12]回答表!F17="簡易水道事業",IF([12]回答表!X45="●",[12]回答表!Y189,IF([12]回答表!AA45="●",[12]回答表!Y255,"")),"")</f>
        <v/>
      </c>
      <c r="AN122" s="233"/>
      <c r="AO122" s="233"/>
      <c r="AP122" s="233"/>
      <c r="AQ122" s="233"/>
      <c r="AR122" s="233"/>
      <c r="AS122" s="233" t="str">
        <f>IF([12]回答表!F17="簡易水道事業",IF([12]回答表!X45="●",[12]回答表!Y190,IF([12]回答表!AA45="●",[12]回答表!Y256,"")),"")</f>
        <v/>
      </c>
      <c r="AT122" s="233"/>
      <c r="AU122" s="233"/>
      <c r="AV122" s="233"/>
      <c r="AW122" s="233"/>
      <c r="AX122" s="233"/>
      <c r="AY122" s="233" t="str">
        <f>IF([12]回答表!F17="簡易水道事業",IF([12]回答表!X45="●",[12]回答表!Y191,IF([12]回答表!AA45="●",[12]回答表!Y257,"")),"")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IF([12]回答表!F17="簡易水道事業",IF([12]回答表!AD45="●","●",""),"")</f>
        <v/>
      </c>
      <c r="O127" s="131"/>
      <c r="P127" s="131"/>
      <c r="Q127" s="132"/>
      <c r="R127" s="119"/>
      <c r="S127" s="119"/>
      <c r="T127" s="119"/>
      <c r="U127" s="133" t="str">
        <f>IF([12]回答表!F17="簡易水道事業",IF([12]回答表!AD45="●",[12]回答表!B289,""),"")</f>
        <v/>
      </c>
      <c r="V127" s="134"/>
      <c r="W127" s="134"/>
      <c r="X127" s="134"/>
      <c r="Y127" s="134"/>
      <c r="Z127" s="134"/>
      <c r="AA127" s="134"/>
      <c r="AB127" s="134"/>
      <c r="AC127" s="134"/>
      <c r="AD127" s="134"/>
      <c r="AE127" s="134"/>
      <c r="AF127" s="134"/>
      <c r="AG127" s="134"/>
      <c r="AH127" s="134"/>
      <c r="AI127" s="134"/>
      <c r="AJ127" s="135"/>
      <c r="AK127" s="183"/>
      <c r="AL127" s="183"/>
      <c r="AM127" s="133" t="str">
        <f>IF([12]回答表!F17="簡易水道事業",IF([12]回答表!AD45="●",[12]回答表!B295,""),"")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IF([12]回答表!F17="下水道事業",IF([12]回答表!X45="●","●",""),"")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IF([12]回答表!F17="下水道事業",IF([12]回答表!X45="●",[12]回答表!B158,IF([12]回答表!AA45="●",[12]回答表!B223,"")),"")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IF([12]回答表!F17="下水道事業",IF([12]回答表!X45="●",[12]回答表!B212,IF([12]回答表!AA45="●",[12]回答表!B278,"")),"")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IF([12]回答表!F17="下水道事業",IF([12]回答表!X45="●",[12]回答表!Y193,IF([12]回答表!AA45="●",[12]回答表!Y259,"")),"")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IF([12]回答表!F17="下水道事業",IF([12]回答表!X45="●",[12]回答表!E212,IF([12]回答表!AA45="●",[12]回答表!E278,"")),"")</f>
        <v/>
      </c>
      <c r="BG142" s="151"/>
      <c r="BH142" s="151"/>
      <c r="BI142" s="151"/>
      <c r="BJ142" s="150" t="str">
        <f>IF([12]回答表!F17="下水道事業",IF([12]回答表!X45="●",[12]回答表!E213,IF([12]回答表!AA45="●",[12]回答表!E279,"")),"")</f>
        <v/>
      </c>
      <c r="BK142" s="151"/>
      <c r="BL142" s="151"/>
      <c r="BM142" s="151"/>
      <c r="BN142" s="150" t="str">
        <f>IF([12]回答表!F17="下水道事業",IF([12]回答表!X45="●",[12]回答表!E214,IF([12]回答表!AA45="●",[12]回答表!E280,"")),"")</f>
        <v/>
      </c>
      <c r="BO142" s="151"/>
      <c r="BP142" s="151"/>
      <c r="BQ142" s="152"/>
      <c r="BR142" s="112"/>
      <c r="BX142" s="200" t="str">
        <f>IF([12]回答表!AQ20="下水道事業",IF([12]回答表!BI48="○",[12]回答表!AM161,IF([12]回答表!BL48="○",[12]回答表!AM226,"")),"")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IF([12]回答表!F17="下水道事業",IF([12]回答表!X45="●",[12]回答表!Y195,IF([12]回答表!AA45="●",[12]回答表!Y261,"")),"")</f>
        <v/>
      </c>
      <c r="V147" s="83"/>
      <c r="W147" s="83"/>
      <c r="X147" s="83"/>
      <c r="Y147" s="83"/>
      <c r="Z147" s="83"/>
      <c r="AA147" s="83"/>
      <c r="AB147" s="153"/>
      <c r="AC147" s="82" t="str">
        <f>IF([12]回答表!F17="下水道事業",IF([12]回答表!X45="●",[12]回答表!Y196,IF([12]回答表!AA45="●",[12]回答表!Y262,"")),"")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IF([12]回答表!F17="下水道事業",IF([12]回答表!X45="●",[12]回答表!Y198,IF([12]回答表!AA45="●",[12]回答表!Y264,"")),"")</f>
        <v/>
      </c>
      <c r="V153" s="83"/>
      <c r="W153" s="83"/>
      <c r="X153" s="83"/>
      <c r="Y153" s="83"/>
      <c r="Z153" s="83"/>
      <c r="AA153" s="83"/>
      <c r="AB153" s="153"/>
      <c r="AC153" s="82" t="str">
        <f>IF([12]回答表!F17="下水道事業",IF([12]回答表!X45="●",[12]回答表!Y199,IF([12]回答表!AA45="●",[12]回答表!Y265,"")),"")</f>
        <v/>
      </c>
      <c r="AD153" s="83"/>
      <c r="AE153" s="83"/>
      <c r="AF153" s="83"/>
      <c r="AG153" s="83"/>
      <c r="AH153" s="83"/>
      <c r="AI153" s="83"/>
      <c r="AJ153" s="153"/>
      <c r="AK153" s="82" t="str">
        <f>IF([12]回答表!F17="下水道事業",IF([12]回答表!X45="●",[12]回答表!Y200,IF([12]回答表!AA45="●",[12]回答表!Y266,"")),"")</f>
        <v/>
      </c>
      <c r="AL153" s="83"/>
      <c r="AM153" s="83"/>
      <c r="AN153" s="83"/>
      <c r="AO153" s="83"/>
      <c r="AP153" s="83"/>
      <c r="AQ153" s="83"/>
      <c r="AR153" s="153"/>
      <c r="AS153" s="82" t="str">
        <f>IF([12]回答表!F17="下水道事業",IF([12]回答表!X45="●",[12]回答表!Y201,IF([12]回答表!AA45="●",[12]回答表!Y267,"")),"")</f>
        <v/>
      </c>
      <c r="AT153" s="83"/>
      <c r="AU153" s="83"/>
      <c r="AV153" s="83"/>
      <c r="AW153" s="83"/>
      <c r="AX153" s="83"/>
      <c r="AY153" s="83"/>
      <c r="AZ153" s="153"/>
      <c r="BA153" s="82" t="str">
        <f>IF([12]回答表!F17="下水道事業",IF([12]回答表!X45="●",[12]回答表!Y202,IF([12]回答表!AA45="●",[12]回答表!Y268,"")),"")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IF([12]回答表!F17="下水道事業",IF([12]回答表!AA45="●","●",""),"")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IF([12]回答表!F17="下水道事業",IF([12]回答表!X45="●",[12]回答表!Y207,IF([12]回答表!AA45="●",[12]回答表!Y273,"")),"")</f>
        <v/>
      </c>
      <c r="V159" s="83"/>
      <c r="W159" s="83"/>
      <c r="X159" s="83"/>
      <c r="Y159" s="83"/>
      <c r="Z159" s="83"/>
      <c r="AA159" s="83"/>
      <c r="AB159" s="153"/>
      <c r="AC159" s="82" t="str">
        <f>IF([12]回答表!F17="下水道事業",IF([12]回答表!X45="●",[12]回答表!Y208,IF([12]回答表!AA45="●",[12]回答表!Y274,"")),"")</f>
        <v/>
      </c>
      <c r="AD159" s="83"/>
      <c r="AE159" s="83"/>
      <c r="AF159" s="83"/>
      <c r="AG159" s="83"/>
      <c r="AH159" s="83"/>
      <c r="AI159" s="83"/>
      <c r="AJ159" s="153"/>
      <c r="AK159" s="82" t="str">
        <f>IF([12]回答表!F17="下水道事業",IF([12]回答表!X45="●",[12]回答表!Y209,IF([12]回答表!AA45="●",[12]回答表!Y275,"")),"")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IF([12]回答表!F17="下水道事業",IF([12]回答表!AD45="●","●",""),"")</f>
        <v/>
      </c>
      <c r="O164" s="131"/>
      <c r="P164" s="131"/>
      <c r="Q164" s="132"/>
      <c r="R164" s="119"/>
      <c r="S164" s="119"/>
      <c r="T164" s="119"/>
      <c r="U164" s="133" t="str">
        <f>IF([12]回答表!F17="下水道事業",IF([12]回答表!AD45="●",[12]回答表!B289,""),"")</f>
        <v/>
      </c>
      <c r="V164" s="134"/>
      <c r="W164" s="134"/>
      <c r="X164" s="134"/>
      <c r="Y164" s="134"/>
      <c r="Z164" s="134"/>
      <c r="AA164" s="134"/>
      <c r="AB164" s="134"/>
      <c r="AC164" s="134"/>
      <c r="AD164" s="134"/>
      <c r="AE164" s="134"/>
      <c r="AF164" s="134"/>
      <c r="AG164" s="134"/>
      <c r="AH164" s="134"/>
      <c r="AI164" s="134"/>
      <c r="AJ164" s="135"/>
      <c r="AK164" s="183"/>
      <c r="AL164" s="183"/>
      <c r="AM164" s="133" t="str">
        <f>IF([12]回答表!F17="下水道事業",IF([12]回答表!AD45="●",[12]回答表!B295,""),"")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IF([12]回答表!BD17="●",IF([12]回答表!X45="●","●",""),"")</f>
        <v/>
      </c>
      <c r="O176" s="131"/>
      <c r="P176" s="131"/>
      <c r="Q176" s="132"/>
      <c r="R176" s="119"/>
      <c r="S176" s="119"/>
      <c r="T176" s="119"/>
      <c r="U176" s="133" t="str">
        <f>IF([12]回答表!BD17="●",IF([12]回答表!X45="●",[12]回答表!B158,IF([12]回答表!AA45="●",[12]回答表!B223,"")),"")</f>
        <v/>
      </c>
      <c r="V176" s="134"/>
      <c r="W176" s="134"/>
      <c r="X176" s="134"/>
      <c r="Y176" s="134"/>
      <c r="Z176" s="134"/>
      <c r="AA176" s="134"/>
      <c r="AB176" s="134"/>
      <c r="AC176" s="134"/>
      <c r="AD176" s="134"/>
      <c r="AE176" s="134"/>
      <c r="AF176" s="134"/>
      <c r="AG176" s="134"/>
      <c r="AH176" s="134"/>
      <c r="AI176" s="134"/>
      <c r="AJ176" s="135"/>
      <c r="AK176" s="136"/>
      <c r="AL176" s="136"/>
      <c r="AM176" s="138" t="str">
        <f>IF([12]回答表!BD17="●",IF([12]回答表!X45="●",[12]回答表!B212,IF([12]回答表!AA45="●",[12]回答表!B278,"")),"")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IF([12]回答表!BD17="●",IF([12]回答表!X45="●",[12]回答表!E212,IF([12]回答表!AA45="●",[12]回答表!E278,"")),"")</f>
        <v/>
      </c>
      <c r="AN179" s="151"/>
      <c r="AO179" s="151"/>
      <c r="AP179" s="151"/>
      <c r="AQ179" s="150" t="str">
        <f>IF([12]回答表!BD17="●",IF([12]回答表!X45="●",[12]回答表!E213,IF([12]回答表!AA45="●",[12]回答表!E279,"")),"")</f>
        <v/>
      </c>
      <c r="AR179" s="151"/>
      <c r="AS179" s="151"/>
      <c r="AT179" s="151"/>
      <c r="AU179" s="150" t="str">
        <f>IF([12]回答表!BD17="●",IF([12]回答表!X45="●",[12]回答表!E214,IF([12]回答表!AA45="●",[12]回答表!E280,"")),"")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IF([12]回答表!BD17="●",IF([12]回答表!AA45="●","●",""),"")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IF([12]回答表!BD17="●",IF([12]回答表!AD45="●","●",""),"")</f>
        <v/>
      </c>
      <c r="O188" s="131"/>
      <c r="P188" s="131"/>
      <c r="Q188" s="132"/>
      <c r="R188" s="119"/>
      <c r="S188" s="119"/>
      <c r="T188" s="119"/>
      <c r="U188" s="133" t="str">
        <f>IF([12]回答表!BD17="●",IF([12]回答表!AD45="●",[12]回答表!B289,""),"")</f>
        <v/>
      </c>
      <c r="V188" s="134"/>
      <c r="W188" s="134"/>
      <c r="X188" s="134"/>
      <c r="Y188" s="134"/>
      <c r="Z188" s="134"/>
      <c r="AA188" s="134"/>
      <c r="AB188" s="134"/>
      <c r="AC188" s="134"/>
      <c r="AD188" s="134"/>
      <c r="AE188" s="134"/>
      <c r="AF188" s="134"/>
      <c r="AG188" s="134"/>
      <c r="AH188" s="134"/>
      <c r="AI188" s="134"/>
      <c r="AJ188" s="135"/>
      <c r="AK188" s="183"/>
      <c r="AL188" s="183"/>
      <c r="AM188" s="133" t="str">
        <f>IF([12]回答表!BD17="●",IF([12]回答表!AD45="●",[12]回答表!B295,""),"")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IF([12]回答表!X46="●","●","")</f>
        <v/>
      </c>
      <c r="O200" s="131"/>
      <c r="P200" s="131"/>
      <c r="Q200" s="132"/>
      <c r="R200" s="119"/>
      <c r="S200" s="119"/>
      <c r="T200" s="119"/>
      <c r="U200" s="133" t="str">
        <f>IF([12]回答表!X46="●",[12]回答表!B307,IF([12]回答表!AA46="●",[12]回答表!B324,""))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IF([12]回答表!X46="●",[12]回答表!U313,IF([12]回答表!AA46="●",[12]回答表!U330,""))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IF([12]回答表!X46="●",[12]回答表!G313,IF([12]回答表!AA46="●",[12]回答表!G330,""))</f>
        <v/>
      </c>
      <c r="AN203" s="83"/>
      <c r="AO203" s="83"/>
      <c r="AP203" s="83"/>
      <c r="AQ203" s="83"/>
      <c r="AR203" s="83"/>
      <c r="AS203" s="83"/>
      <c r="AT203" s="153"/>
      <c r="AU203" s="82" t="str">
        <f>IF([12]回答表!X46="●",[12]回答表!G314,IF([12]回答表!AA46="●",[12]回答表!G331,""))</f>
        <v/>
      </c>
      <c r="AV203" s="83"/>
      <c r="AW203" s="83"/>
      <c r="AX203" s="83"/>
      <c r="AY203" s="83"/>
      <c r="AZ203" s="83"/>
      <c r="BA203" s="83"/>
      <c r="BB203" s="153"/>
      <c r="BC203" s="120"/>
      <c r="BD203" s="109"/>
      <c r="BE203" s="109"/>
      <c r="BF203" s="150" t="str">
        <f>IF([12]回答表!X46="●",[12]回答表!X313,IF([12]回答表!AA46="●",[12]回答表!X330,""))</f>
        <v/>
      </c>
      <c r="BG203" s="151"/>
      <c r="BH203" s="151"/>
      <c r="BI203" s="151"/>
      <c r="BJ203" s="150" t="str">
        <f>IF([12]回答表!X46="●",[12]回答表!X314,IF([12]回答表!AA46="●",[12]回答表!X331,""))</f>
        <v/>
      </c>
      <c r="BK203" s="151"/>
      <c r="BL203" s="151"/>
      <c r="BM203" s="152"/>
      <c r="BN203" s="150" t="str">
        <f>IF([12]回答表!X46="●",[12]回答表!X315,IF([12]回答表!AA46="●",[12]回答表!X332,""))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IF([12]回答表!AD46="●","●","")</f>
        <v/>
      </c>
      <c r="O212" s="131"/>
      <c r="P212" s="131"/>
      <c r="Q212" s="132"/>
      <c r="R212" s="119"/>
      <c r="S212" s="119"/>
      <c r="T212" s="119"/>
      <c r="U212" s="133" t="str">
        <f>IF([12]回答表!AD46="●",[12]回答表!B337,"")</f>
        <v/>
      </c>
      <c r="V212" s="134"/>
      <c r="W212" s="134"/>
      <c r="X212" s="134"/>
      <c r="Y212" s="134"/>
      <c r="Z212" s="134"/>
      <c r="AA212" s="134"/>
      <c r="AB212" s="134"/>
      <c r="AC212" s="134"/>
      <c r="AD212" s="134"/>
      <c r="AE212" s="134"/>
      <c r="AF212" s="134"/>
      <c r="AG212" s="134"/>
      <c r="AH212" s="134"/>
      <c r="AI212" s="134"/>
      <c r="AJ212" s="135"/>
      <c r="AK212" s="259"/>
      <c r="AL212" s="259"/>
      <c r="AM212" s="133" t="str">
        <f>IF([12]回答表!AD46="●",[12]回答表!B343,"")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IF([12]回答表!X47="●","●","")</f>
        <v/>
      </c>
      <c r="O224" s="131"/>
      <c r="P224" s="131"/>
      <c r="Q224" s="132"/>
      <c r="R224" s="119"/>
      <c r="S224" s="119"/>
      <c r="T224" s="119"/>
      <c r="U224" s="133" t="str">
        <f>IF([12]回答表!X47="●",[12]回答表!B356,IF([12]回答表!AA47="●",[12]回答表!B379,""))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IF([12]回答表!X47="●",[12]回答表!B362,"")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IF([12]回答表!X47="●",[12]回答表!B368,IF([12]回答表!AA47="●",[12]回答表!B385,""))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IF([12]回答表!X47="●",[12]回答表!E368,IF([12]回答表!AA47="●",[12]回答表!E385,""))</f>
        <v/>
      </c>
      <c r="BG227" s="151"/>
      <c r="BH227" s="151"/>
      <c r="BI227" s="151"/>
      <c r="BJ227" s="150" t="str">
        <f>IF([12]回答表!X47="●",[12]回答表!E369,IF([12]回答表!AA47="●",[12]回答表!E386,""))</f>
        <v/>
      </c>
      <c r="BK227" s="151"/>
      <c r="BL227" s="151"/>
      <c r="BM227" s="152"/>
      <c r="BN227" s="150" t="str">
        <f>IF([12]回答表!X47="●",[12]回答表!E370,IF([12]回答表!AA47="●",[12]回答表!E387,""))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IF([12]回答表!AD47="●","●","")</f>
        <v/>
      </c>
      <c r="O236" s="131"/>
      <c r="P236" s="131"/>
      <c r="Q236" s="132"/>
      <c r="R236" s="119"/>
      <c r="S236" s="119"/>
      <c r="T236" s="119"/>
      <c r="U236" s="133" t="str">
        <f>IF([12]回答表!AD47="●",[12]回答表!B392,"")</f>
        <v/>
      </c>
      <c r="V236" s="134"/>
      <c r="W236" s="134"/>
      <c r="X236" s="134"/>
      <c r="Y236" s="134"/>
      <c r="Z236" s="134"/>
      <c r="AA236" s="134"/>
      <c r="AB236" s="134"/>
      <c r="AC236" s="134"/>
      <c r="AD236" s="134"/>
      <c r="AE236" s="134"/>
      <c r="AF236" s="134"/>
      <c r="AG236" s="134"/>
      <c r="AH236" s="134"/>
      <c r="AI236" s="134"/>
      <c r="AJ236" s="135"/>
      <c r="AK236" s="259"/>
      <c r="AL236" s="259"/>
      <c r="AM236" s="133" t="str">
        <f>IF([12]回答表!AD47="●",[12]回答表!B398,"")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IF([12]回答表!X48="●","●","")</f>
        <v/>
      </c>
      <c r="O248" s="131"/>
      <c r="P248" s="131"/>
      <c r="Q248" s="132"/>
      <c r="R248" s="119"/>
      <c r="S248" s="119"/>
      <c r="T248" s="119"/>
      <c r="U248" s="133" t="str">
        <f>IF([12]回答表!X48="●",[12]回答表!B411,IF([12]回答表!AA48="●",[12]回答表!B425,""))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IF([12]回答表!X48="●",[12]回答表!BC418,IF([12]回答表!AA48="●",[12]回答表!BC432,""))</f>
        <v/>
      </c>
      <c r="AR248" s="272"/>
      <c r="AS248" s="272"/>
      <c r="AT248" s="272"/>
      <c r="AU248" s="273" t="s">
        <v>73</v>
      </c>
      <c r="AV248" s="274"/>
      <c r="AW248" s="274"/>
      <c r="AX248" s="275"/>
      <c r="AY248" s="272" t="str">
        <f>IF([12]回答表!X48="●",[12]回答表!BC423,IF([12]回答表!AA48="●",[12]回答表!BC437,""))</f>
        <v/>
      </c>
      <c r="AZ248" s="272"/>
      <c r="BA248" s="272"/>
      <c r="BB248" s="272"/>
      <c r="BC248" s="120"/>
      <c r="BD248" s="109"/>
      <c r="BE248" s="109"/>
      <c r="BF248" s="138" t="str">
        <f>IF([12]回答表!X48="●",[12]回答表!S417,IF([12]回答表!AA48="●",[12]回答表!S431,""))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IF([12]回答表!X48="●",[12]回答表!BC419,IF([12]回答表!AA48="●",[12]回答表!BC433,""))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IF([12]回答表!X48="●",[12]回答表!V417,IF([12]回答表!AA48="●",[12]回答表!V431,""))</f>
        <v/>
      </c>
      <c r="BG251" s="151"/>
      <c r="BH251" s="151"/>
      <c r="BI251" s="151"/>
      <c r="BJ251" s="150" t="str">
        <f>IF([12]回答表!X48="●",[12]回答表!V418,IF([12]回答表!AA48="●",[12]回答表!V432,""))</f>
        <v/>
      </c>
      <c r="BK251" s="151"/>
      <c r="BL251" s="151"/>
      <c r="BM251" s="152"/>
      <c r="BN251" s="150" t="str">
        <f>IF([12]回答表!X48="●",[12]回答表!V419,IF([12]回答表!AA48="●",[12]回答表!V433,""))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IF([12]回答表!X48="●",[12]回答表!BC420,IF([12]回答表!AA48="●",[12]回答表!BC434,""))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IF([12]回答表!X48="●",[12]回答表!BC424,IF([12]回答表!AA48="●",[12]回答表!BC438,""))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IF([12]回答表!X48="●",[12]回答表!BC421,IF([12]回答表!AA48="●",[12]回答表!BC435,""))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IF([12]回答表!X48="●",[12]回答表!BC422,IF([12]回答表!AA48="●",[12]回答表!BC436,""))</f>
        <v/>
      </c>
      <c r="AR256" s="272"/>
      <c r="AS256" s="272"/>
      <c r="AT256" s="272"/>
      <c r="AU256" s="224" t="s">
        <v>79</v>
      </c>
      <c r="AV256" s="225"/>
      <c r="AW256" s="225"/>
      <c r="AX256" s="226"/>
      <c r="AY256" s="282" t="str">
        <f>IF([12]回答表!X48="●",[12]回答表!BC425,IF([12]回答表!AA48="●",[12]回答表!BC439,""))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IF([12]回答表!AD48="●","●","")</f>
        <v/>
      </c>
      <c r="O260" s="131"/>
      <c r="P260" s="131"/>
      <c r="Q260" s="132"/>
      <c r="R260" s="119"/>
      <c r="S260" s="119"/>
      <c r="T260" s="119"/>
      <c r="U260" s="133" t="str">
        <f>IF([12]回答表!AD48="●",[12]回答表!B439,"")</f>
        <v/>
      </c>
      <c r="V260" s="134"/>
      <c r="W260" s="134"/>
      <c r="X260" s="134"/>
      <c r="Y260" s="134"/>
      <c r="Z260" s="134"/>
      <c r="AA260" s="134"/>
      <c r="AB260" s="134"/>
      <c r="AC260" s="134"/>
      <c r="AD260" s="134"/>
      <c r="AE260" s="134"/>
      <c r="AF260" s="134"/>
      <c r="AG260" s="134"/>
      <c r="AH260" s="134"/>
      <c r="AI260" s="134"/>
      <c r="AJ260" s="135"/>
      <c r="AK260" s="183"/>
      <c r="AL260" s="183"/>
      <c r="AM260" s="133" t="str">
        <f>IF([12]回答表!AD48="●",[12]回答表!B445,"")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IF([12]回答表!X49="●","●","")</f>
        <v/>
      </c>
      <c r="O271" s="131"/>
      <c r="P271" s="131"/>
      <c r="Q271" s="132"/>
      <c r="R271" s="119"/>
      <c r="S271" s="119"/>
      <c r="T271" s="119"/>
      <c r="U271" s="133" t="str">
        <f>IF([12]回答表!X49="●",[12]回答表!B458,IF([12]回答表!AA49="●",[12]回答表!B475,""))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IF([12]回答表!X49="●",[12]回答表!B468,IF([12]回答表!AA49="●",[12]回答表!B485,""))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IF([12]回答表!X49="●",[12]回答表!G464,IF([12]回答表!AA49="●",[12]回答表!G481,""))</f>
        <v/>
      </c>
      <c r="AN273" s="83"/>
      <c r="AO273" s="83"/>
      <c r="AP273" s="83"/>
      <c r="AQ273" s="83"/>
      <c r="AR273" s="83"/>
      <c r="AS273" s="83"/>
      <c r="AT273" s="153"/>
      <c r="AU273" s="82" t="str">
        <f>IF([12]回答表!X49="●",[12]回答表!G465,IF([12]回答表!AA49="●",[12]回答表!G482,""))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IF([12]回答表!X49="●",[12]回答表!E468,IF([12]回答表!AA49="●",[12]回答表!E485,""))</f>
        <v/>
      </c>
      <c r="BG274" s="151"/>
      <c r="BH274" s="151"/>
      <c r="BI274" s="151"/>
      <c r="BJ274" s="150" t="str">
        <f>IF([12]回答表!X49="●",[12]回答表!E469,IF([12]回答表!AA49="●",[12]回答表!E486,""))</f>
        <v/>
      </c>
      <c r="BK274" s="151"/>
      <c r="BL274" s="151"/>
      <c r="BM274" s="152"/>
      <c r="BN274" s="150" t="str">
        <f>IF([12]回答表!X49="●",[12]回答表!E470,IF([12]回答表!AA49="●",[12]回答表!E487,""))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IF([12]回答表!AD49="●","●","")</f>
        <v/>
      </c>
      <c r="O283" s="131"/>
      <c r="P283" s="131"/>
      <c r="Q283" s="132"/>
      <c r="R283" s="119"/>
      <c r="S283" s="119"/>
      <c r="T283" s="119"/>
      <c r="U283" s="133" t="str">
        <f>IF([12]回答表!AD49="●",[12]回答表!B492,"")</f>
        <v/>
      </c>
      <c r="V283" s="134"/>
      <c r="W283" s="134"/>
      <c r="X283" s="134"/>
      <c r="Y283" s="134"/>
      <c r="Z283" s="134"/>
      <c r="AA283" s="134"/>
      <c r="AB283" s="134"/>
      <c r="AC283" s="134"/>
      <c r="AD283" s="134"/>
      <c r="AE283" s="134"/>
      <c r="AF283" s="134"/>
      <c r="AG283" s="134"/>
      <c r="AH283" s="134"/>
      <c r="AI283" s="134"/>
      <c r="AJ283" s="135"/>
      <c r="AK283" s="136"/>
      <c r="AL283" s="136"/>
      <c r="AM283" s="133" t="str">
        <f>IF([12]回答表!AD49="●",[12]回答表!B498,"")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IF([12]回答表!R50="●",[12]回答表!B511,"")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C62C3-DC84-47E8-B56D-EDDD03E6FCA3}">
  <sheetPr>
    <pageSetUpPr fitToPage="1"/>
  </sheetPr>
  <dimension ref="A1:CN315"/>
  <sheetViews>
    <sheetView showZeros="0" view="pageBreakPreview" zoomScale="60" zoomScaleNormal="55" workbookViewId="0">
      <selection activeCell="AL34" sqref="AL3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IF(COUNTIF([13]回答表!K15,"*")&gt;0,[13]回答表!K15,"")</f>
        <v>大仙市</v>
      </c>
      <c r="D11" s="8"/>
      <c r="E11" s="8"/>
      <c r="F11" s="8"/>
      <c r="G11" s="8"/>
      <c r="H11" s="8"/>
      <c r="I11" s="8"/>
      <c r="J11" s="8"/>
      <c r="K11" s="8"/>
      <c r="L11" s="8"/>
      <c r="M11" s="8"/>
      <c r="N11" s="8"/>
      <c r="O11" s="8"/>
      <c r="P11" s="8"/>
      <c r="Q11" s="8"/>
      <c r="R11" s="8"/>
      <c r="S11" s="8"/>
      <c r="T11" s="8"/>
      <c r="U11" s="22" t="str">
        <f>IF(COUNTIF([13]回答表!F17,"*")&gt;0,[13]回答表!F17,"")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IF(COUNTIF([13]回答表!W17,"*")&gt;0,[13]回答表!W17,"")</f>
        <v>介護老人保健施設</v>
      </c>
      <c r="AP11" s="10"/>
      <c r="AQ11" s="10"/>
      <c r="AR11" s="10"/>
      <c r="AS11" s="10"/>
      <c r="AT11" s="10"/>
      <c r="AU11" s="10"/>
      <c r="AV11" s="10"/>
      <c r="AW11" s="10"/>
      <c r="AX11" s="10"/>
      <c r="AY11" s="10"/>
      <c r="AZ11" s="10"/>
      <c r="BA11" s="10"/>
      <c r="BB11" s="10"/>
      <c r="BC11" s="10"/>
      <c r="BD11" s="10"/>
      <c r="BE11" s="10"/>
      <c r="BF11" s="11"/>
      <c r="BG11" s="21" t="str">
        <f>IF(COUNTIF([13]回答表!F19,"*")&gt;0,[13]回答表!F19,"")</f>
        <v>介護老人保健施設介護サービス事業特別会計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IF([13]回答表!R43="●","●","")</f>
        <v/>
      </c>
      <c r="E24" s="80"/>
      <c r="F24" s="80"/>
      <c r="G24" s="80"/>
      <c r="H24" s="80"/>
      <c r="I24" s="80"/>
      <c r="J24" s="81"/>
      <c r="K24" s="79" t="str">
        <f>IF([13]回答表!R44="●","●","")</f>
        <v>●</v>
      </c>
      <c r="L24" s="80"/>
      <c r="M24" s="80"/>
      <c r="N24" s="80"/>
      <c r="O24" s="80"/>
      <c r="P24" s="80"/>
      <c r="Q24" s="81"/>
      <c r="R24" s="79" t="str">
        <f>IF([13]回答表!R45="●","●","")</f>
        <v/>
      </c>
      <c r="S24" s="80"/>
      <c r="T24" s="80"/>
      <c r="U24" s="80"/>
      <c r="V24" s="80"/>
      <c r="W24" s="80"/>
      <c r="X24" s="81"/>
      <c r="Y24" s="79" t="str">
        <f>IF([13]回答表!R46="●","●","")</f>
        <v/>
      </c>
      <c r="Z24" s="80"/>
      <c r="AA24" s="80"/>
      <c r="AB24" s="80"/>
      <c r="AC24" s="80"/>
      <c r="AD24" s="80"/>
      <c r="AE24" s="81"/>
      <c r="AF24" s="79" t="str">
        <f>IF([13]回答表!R47="●","●","")</f>
        <v/>
      </c>
      <c r="AG24" s="80"/>
      <c r="AH24" s="80"/>
      <c r="AI24" s="80"/>
      <c r="AJ24" s="80"/>
      <c r="AK24" s="80"/>
      <c r="AL24" s="81"/>
      <c r="AM24" s="79" t="str">
        <f>IF([13]回答表!R48="●","●","")</f>
        <v/>
      </c>
      <c r="AN24" s="80"/>
      <c r="AO24" s="80"/>
      <c r="AP24" s="80"/>
      <c r="AQ24" s="80"/>
      <c r="AR24" s="80"/>
      <c r="AS24" s="81"/>
      <c r="AT24" s="79" t="str">
        <f>IF([13]回答表!R49="●","●","")</f>
        <v/>
      </c>
      <c r="AU24" s="80"/>
      <c r="AV24" s="80"/>
      <c r="AW24" s="80"/>
      <c r="AX24" s="80"/>
      <c r="AY24" s="80"/>
      <c r="AZ24" s="81"/>
      <c r="BA24" s="68"/>
      <c r="BB24" s="82" t="str">
        <f>IF([13]回答表!R50="●","●","")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IF([13]回答表!X43="●","●","")</f>
        <v/>
      </c>
      <c r="O36" s="131"/>
      <c r="P36" s="131"/>
      <c r="Q36" s="132"/>
      <c r="R36" s="119"/>
      <c r="S36" s="119"/>
      <c r="T36" s="119"/>
      <c r="U36" s="133" t="str">
        <f>IF([13]回答表!X43="●",[13]回答表!B59,IF([13]回答表!AA43="●",[13]回答表!B79,""))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IF([13]回答表!X43="●",[13]回答表!S65,IF([13]回答表!AA43="●",[13]回答表!S85,""))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IF([13]回答表!X43="●",[13]回答表!G65,IF([13]回答表!AA43="●",[13]回答表!G85,""))</f>
        <v/>
      </c>
      <c r="AN38" s="83"/>
      <c r="AO38" s="83"/>
      <c r="AP38" s="83"/>
      <c r="AQ38" s="83"/>
      <c r="AR38" s="83"/>
      <c r="AS38" s="83"/>
      <c r="AT38" s="153"/>
      <c r="AU38" s="82" t="str">
        <f>IF([13]回答表!X43="●",[13]回答表!G66,IF([13]回答表!AA43="●",[13]回答表!G86,""))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IF([13]回答表!X43="●",[13]回答表!V65,IF([13]回答表!AA43="●",[13]回答表!V85,""))</f>
        <v/>
      </c>
      <c r="BG39" s="16"/>
      <c r="BH39" s="16"/>
      <c r="BI39" s="17"/>
      <c r="BJ39" s="150" t="str">
        <f>IF([13]回答表!X43="●",[13]回答表!V66,IF([13]回答表!AA43="●",[13]回答表!V86,""))</f>
        <v/>
      </c>
      <c r="BK39" s="16"/>
      <c r="BL39" s="16"/>
      <c r="BM39" s="17"/>
      <c r="BN39" s="150" t="str">
        <f>IF([13]回答表!X43="●",[13]回答表!V67,IF([13]回答表!AA43="●",[13]回答表!V87,""))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IF([13]回答表!X43="●",[13]回答表!O71,IF([13]回答表!AA43="●",[13]回答表!O91,""))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IF([13]回答表!X43="●",[13]回答表!O72,IF([13]回答表!AA43="●",[13]回答表!O92,""))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IF([13]回答表!X43="●",[13]回答表!O73,IF([13]回答表!AA43="●",[13]回答表!O93,""))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IF([13]回答表!X43="●",[13]回答表!O74,IF([13]回答表!AA43="●",[13]回答表!O94,""))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IF([13]回答表!X43="●",[13]回答表!AG71,IF([13]回答表!AA43="●",[13]回答表!AG91,""))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IF([13]回答表!X43="●",[13]回答表!AG72,IF([13]回答表!AA43="●",[13]回答表!AG92,""))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IF([13]回答表!AD43="●","●","")</f>
        <v/>
      </c>
      <c r="O51" s="131"/>
      <c r="P51" s="131"/>
      <c r="Q51" s="132"/>
      <c r="R51" s="119"/>
      <c r="S51" s="119"/>
      <c r="T51" s="119"/>
      <c r="U51" s="133" t="str">
        <f>IF([13]回答表!AD43="●",[13]回答表!B99,"")</f>
        <v/>
      </c>
      <c r="V51" s="134"/>
      <c r="W51" s="134"/>
      <c r="X51" s="134"/>
      <c r="Y51" s="134"/>
      <c r="Z51" s="134"/>
      <c r="AA51" s="134"/>
      <c r="AB51" s="134"/>
      <c r="AC51" s="134"/>
      <c r="AD51" s="134"/>
      <c r="AE51" s="134"/>
      <c r="AF51" s="134"/>
      <c r="AG51" s="134"/>
      <c r="AH51" s="134"/>
      <c r="AI51" s="134"/>
      <c r="AJ51" s="135"/>
      <c r="AK51" s="183"/>
      <c r="AL51" s="183"/>
      <c r="AM51" s="133" t="str">
        <f>IF([13]回答表!AD43="●",[13]回答表!B104,"")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IF([13]回答表!X44="●","●","")</f>
        <v>●</v>
      </c>
      <c r="O62" s="131"/>
      <c r="P62" s="131"/>
      <c r="Q62" s="132"/>
      <c r="R62" s="119"/>
      <c r="S62" s="119"/>
      <c r="T62" s="119"/>
      <c r="U62" s="133" t="str">
        <f>IF([13]回答表!X44="●",[13]回答表!B115,IF([13]回答表!AA44="●",[13]回答表!B127,""))</f>
        <v>市立の介護保険施設２施設を法人へ移譲、民営化したことにより、施設数の削減が図られた。</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IF([13]回答表!X44="●",[13]回答表!S121,IF([13]回答表!AA44="●",[13]回答表!S133,""))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IF([13]回答表!X44="●",[13]回答表!J121,IF([13]回答表!AA44="●",[13]回答表!J133,""))</f>
        <v>●</v>
      </c>
      <c r="AN65" s="83"/>
      <c r="AO65" s="83"/>
      <c r="AP65" s="83"/>
      <c r="AQ65" s="83"/>
      <c r="AR65" s="83"/>
      <c r="AS65" s="83"/>
      <c r="AT65" s="153"/>
      <c r="AU65" s="82" t="str">
        <f>IF([13]回答表!X44="●",[13]回答表!J122,IF([13]回答表!AA44="●",[13]回答表!J134,""))</f>
        <v xml:space="preserve"> </v>
      </c>
      <c r="AV65" s="83"/>
      <c r="AW65" s="83"/>
      <c r="AX65" s="83"/>
      <c r="AY65" s="83"/>
      <c r="AZ65" s="83"/>
      <c r="BA65" s="83"/>
      <c r="BB65" s="153"/>
      <c r="BC65" s="120"/>
      <c r="BD65" s="109"/>
      <c r="BE65" s="109"/>
      <c r="BF65" s="150">
        <f>IF([13]回答表!X44="●",[13]回答表!V121,IF([13]回答表!AA44="●",[13]回答表!V133,""))</f>
        <v>24</v>
      </c>
      <c r="BG65" s="151"/>
      <c r="BH65" s="151"/>
      <c r="BI65" s="151"/>
      <c r="BJ65" s="150">
        <f>IF([13]回答表!X44="●",[13]回答表!V122,IF([13]回答表!AA44="●",[13]回答表!V134,""))</f>
        <v>4</v>
      </c>
      <c r="BK65" s="151"/>
      <c r="BL65" s="151"/>
      <c r="BM65" s="151"/>
      <c r="BN65" s="150">
        <f>IF([13]回答表!X44="●",[13]回答表!V123,IF([13]回答表!AA44="●",[13]回答表!V135,""))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IF([13]回答表!AD44="●","●","")</f>
        <v/>
      </c>
      <c r="O74" s="131"/>
      <c r="P74" s="131"/>
      <c r="Q74" s="132"/>
      <c r="R74" s="119"/>
      <c r="S74" s="119"/>
      <c r="T74" s="119"/>
      <c r="U74" s="133" t="str">
        <f>IF([13]回答表!AD44="●",[13]回答表!B140,"")</f>
        <v/>
      </c>
      <c r="V74" s="134"/>
      <c r="W74" s="134"/>
      <c r="X74" s="134"/>
      <c r="Y74" s="134"/>
      <c r="Z74" s="134"/>
      <c r="AA74" s="134"/>
      <c r="AB74" s="134"/>
      <c r="AC74" s="134"/>
      <c r="AD74" s="134"/>
      <c r="AE74" s="134"/>
      <c r="AF74" s="134"/>
      <c r="AG74" s="134"/>
      <c r="AH74" s="134"/>
      <c r="AI74" s="134"/>
      <c r="AJ74" s="135"/>
      <c r="AK74" s="183"/>
      <c r="AL74" s="183"/>
      <c r="AM74" s="133" t="str">
        <f>IF([13]回答表!AD44="●",[13]回答表!B146,"")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IF([13]回答表!F17="水道事業",IF([13]回答表!X45="●","●",""),"")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IF([13]回答表!F17="水道事業",IF([13]回答表!X45="●",[13]回答表!B158,IF([13]回答表!AA45="●",[13]回答表!B223,"")),"")</f>
        <v/>
      </c>
      <c r="AN86" s="201"/>
      <c r="AO86" s="201"/>
      <c r="AP86" s="201"/>
      <c r="AQ86" s="201"/>
      <c r="AR86" s="201"/>
      <c r="AS86" s="201"/>
      <c r="AT86" s="201"/>
      <c r="AU86" s="201"/>
      <c r="AV86" s="201"/>
      <c r="AW86" s="201"/>
      <c r="AX86" s="201"/>
      <c r="AY86" s="201"/>
      <c r="AZ86" s="201"/>
      <c r="BA86" s="201"/>
      <c r="BB86" s="201"/>
      <c r="BC86" s="202"/>
      <c r="BD86" s="109"/>
      <c r="BE86" s="109"/>
      <c r="BF86" s="138" t="str">
        <f>IF([13]回答表!F17="水道事業",IF([13]回答表!X45="●",[13]回答表!B212,IF([13]回答表!AA45="●",[13]回答表!B278,"")),"")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IF([13]回答表!F17="水道事業",IF([13]回答表!X45="●",[13]回答表!J166,IF([13]回答表!AA45="●",[13]回答表!J231,"")),"")</f>
        <v/>
      </c>
      <c r="V88" s="83"/>
      <c r="W88" s="83"/>
      <c r="X88" s="83"/>
      <c r="Y88" s="83"/>
      <c r="Z88" s="83"/>
      <c r="AA88" s="83"/>
      <c r="AB88" s="153"/>
      <c r="AC88" s="82" t="str">
        <f>IF([13]回答表!F17="水道事業",IF([13]回答表!X45="●",[13]回答表!J173,IF([13]回答表!AA45="●",[13]回答表!J238,"")),"")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IF([13]回答表!F17="水道事業",IF([13]回答表!X45="●",[13]回答表!E212,IF([13]回答表!AA45="●",[13]回答表!E278,"")),"")</f>
        <v/>
      </c>
      <c r="BG89" s="151"/>
      <c r="BH89" s="151"/>
      <c r="BI89" s="151"/>
      <c r="BJ89" s="150" t="str">
        <f>IF([13]回答表!F17="水道事業",IF([13]回答表!X45="●",[13]回答表!E213,IF([13]回答表!AA45="●",[13]回答表!E279,"")),"")</f>
        <v/>
      </c>
      <c r="BK89" s="151"/>
      <c r="BL89" s="151"/>
      <c r="BM89" s="151"/>
      <c r="BN89" s="150" t="str">
        <f>IF([13]回答表!F17="水道事業",IF([13]回答表!X45="●",[13]回答表!E214,IF([13]回答表!AA45="●",[13]回答表!E280,"")),"")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IF([13]回答表!F17="水道事業",IF([13]回答表!AA45="●","●",""),"")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IF([13]回答表!F17="水道事業",IF([13]回答表!X45="●",[13]回答表!J176,IF([13]回答表!AA45="●",[13]回答表!J241,"")),"")</f>
        <v/>
      </c>
      <c r="V93" s="83"/>
      <c r="W93" s="83"/>
      <c r="X93" s="83"/>
      <c r="Y93" s="83"/>
      <c r="Z93" s="83"/>
      <c r="AA93" s="83"/>
      <c r="AB93" s="153"/>
      <c r="AC93" s="82" t="str">
        <f>IF([13]回答表!F17="水道事業",IF([13]回答表!X45="●",[13]回答表!J180,IF([13]回答表!AA45="●",[13]回答表!J245,"")),"")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IF([13]回答表!F17="水道事業",IF([13]回答表!AD45="○","○",""),"")</f>
        <v/>
      </c>
      <c r="O98" s="131"/>
      <c r="P98" s="131"/>
      <c r="Q98" s="132"/>
      <c r="R98" s="119"/>
      <c r="S98" s="119"/>
      <c r="T98" s="119"/>
      <c r="U98" s="133" t="str">
        <f>IF([13]回答表!F17="水道事業",IF([13]回答表!AD45="●",[13]回答表!B289,""),"")</f>
        <v/>
      </c>
      <c r="V98" s="134"/>
      <c r="W98" s="134"/>
      <c r="X98" s="134"/>
      <c r="Y98" s="134"/>
      <c r="Z98" s="134"/>
      <c r="AA98" s="134"/>
      <c r="AB98" s="134"/>
      <c r="AC98" s="134"/>
      <c r="AD98" s="134"/>
      <c r="AE98" s="134"/>
      <c r="AF98" s="134"/>
      <c r="AG98" s="134"/>
      <c r="AH98" s="134"/>
      <c r="AI98" s="134"/>
      <c r="AJ98" s="135"/>
      <c r="AK98" s="183"/>
      <c r="AL98" s="183"/>
      <c r="AM98" s="133" t="str">
        <f>IF([13]回答表!F17="水道事業",IF([13]回答表!AD45="●",[13]回答表!B295,""),"")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IF([13]回答表!F17="簡易水道事業",IF([13]回答表!X45="●",[13]回答表!B158,IF([13]回答表!AA45="●",[13]回答表!B223,"")),"")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IF([13]回答表!F17="簡易水道事業",IF([13]回答表!X45="●",[13]回答表!B212,IF([13]回答表!AA45="●",[13]回答表!B278,"")),"")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IF([13]回答表!F17="簡易水道事業",IF([13]回答表!X45="●","●",""),"")</f>
        <v/>
      </c>
      <c r="O112" s="131"/>
      <c r="P112" s="131"/>
      <c r="Q112" s="132"/>
      <c r="R112" s="119"/>
      <c r="S112" s="119"/>
      <c r="T112" s="119"/>
      <c r="U112" s="82" t="str">
        <f>IF([13]回答表!F17="簡易水道事業",IF([13]回答表!X45="●",[13]回答表!Y185,IF([13]回答表!AA45="●",[13]回答表!Y251,"")),"")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IF([13]回答表!F17="簡易水道事業",IF([13]回答表!X45="●",[13]回答表!E212,IF([13]回答表!AA45="●",[13]回答表!E278,"")),"")</f>
        <v/>
      </c>
      <c r="BG113" s="151"/>
      <c r="BH113" s="151"/>
      <c r="BI113" s="151"/>
      <c r="BJ113" s="150" t="str">
        <f>IF([13]回答表!F17="簡易水道事業",IF([13]回答表!X45="●",[13]回答表!E213,IF([13]回答表!AA45="●",[13]回答表!E279,"")),"")</f>
        <v/>
      </c>
      <c r="BK113" s="151"/>
      <c r="BL113" s="151"/>
      <c r="BM113" s="151"/>
      <c r="BN113" s="150" t="str">
        <f>IF([13]回答表!F17="簡易水道事業",IF([13]回答表!X45="●",[13]回答表!E214,IF([13]回答表!AA45="●",[13]回答表!E280,"")),"")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IF([13]回答表!F17="簡易水道事業",IF([13]回答表!X45="●",[13]回答表!Y186,IF([13]回答表!AA45="●",[13]回答表!Y252,"")),"")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IF([13]回答表!F17="簡易水道事業",IF([13]回答表!AA45="●","●",""),"")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IF([13]回答表!F17="簡易水道事業",IF([13]回答表!X45="●",[13]回答表!Y187,IF([13]回答表!AA45="●",[13]回答表!Y253,"")),"")</f>
        <v/>
      </c>
      <c r="V122" s="83"/>
      <c r="W122" s="83"/>
      <c r="X122" s="83"/>
      <c r="Y122" s="83"/>
      <c r="Z122" s="83"/>
      <c r="AA122" s="83"/>
      <c r="AB122" s="83"/>
      <c r="AC122" s="83"/>
      <c r="AD122" s="83"/>
      <c r="AE122" s="83"/>
      <c r="AF122" s="83"/>
      <c r="AG122" s="83"/>
      <c r="AH122" s="83"/>
      <c r="AI122" s="83"/>
      <c r="AJ122" s="153"/>
      <c r="AK122" s="68"/>
      <c r="AL122" s="68"/>
      <c r="AM122" s="233" t="str">
        <f>IF([13]回答表!F17="簡易水道事業",IF([13]回答表!X45="●",[13]回答表!Y189,IF([13]回答表!AA45="●",[13]回答表!Y255,"")),"")</f>
        <v/>
      </c>
      <c r="AN122" s="233"/>
      <c r="AO122" s="233"/>
      <c r="AP122" s="233"/>
      <c r="AQ122" s="233"/>
      <c r="AR122" s="233"/>
      <c r="AS122" s="233" t="str">
        <f>IF([13]回答表!F17="簡易水道事業",IF([13]回答表!X45="●",[13]回答表!Y190,IF([13]回答表!AA45="●",[13]回答表!Y256,"")),"")</f>
        <v/>
      </c>
      <c r="AT122" s="233"/>
      <c r="AU122" s="233"/>
      <c r="AV122" s="233"/>
      <c r="AW122" s="233"/>
      <c r="AX122" s="233"/>
      <c r="AY122" s="233" t="str">
        <f>IF([13]回答表!F17="簡易水道事業",IF([13]回答表!X45="●",[13]回答表!Y191,IF([13]回答表!AA45="●",[13]回答表!Y257,"")),"")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IF([13]回答表!F17="簡易水道事業",IF([13]回答表!AD45="●","●",""),"")</f>
        <v/>
      </c>
      <c r="O127" s="131"/>
      <c r="P127" s="131"/>
      <c r="Q127" s="132"/>
      <c r="R127" s="119"/>
      <c r="S127" s="119"/>
      <c r="T127" s="119"/>
      <c r="U127" s="133" t="str">
        <f>IF([13]回答表!F17="簡易水道事業",IF([13]回答表!AD45="●",[13]回答表!B289,""),"")</f>
        <v/>
      </c>
      <c r="V127" s="134"/>
      <c r="W127" s="134"/>
      <c r="X127" s="134"/>
      <c r="Y127" s="134"/>
      <c r="Z127" s="134"/>
      <c r="AA127" s="134"/>
      <c r="AB127" s="134"/>
      <c r="AC127" s="134"/>
      <c r="AD127" s="134"/>
      <c r="AE127" s="134"/>
      <c r="AF127" s="134"/>
      <c r="AG127" s="134"/>
      <c r="AH127" s="134"/>
      <c r="AI127" s="134"/>
      <c r="AJ127" s="135"/>
      <c r="AK127" s="183"/>
      <c r="AL127" s="183"/>
      <c r="AM127" s="133" t="str">
        <f>IF([13]回答表!F17="簡易水道事業",IF([13]回答表!AD45="●",[13]回答表!B295,""),"")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IF([13]回答表!F17="下水道事業",IF([13]回答表!X45="●","●",""),"")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IF([13]回答表!F17="下水道事業",IF([13]回答表!X45="●",[13]回答表!B158,IF([13]回答表!AA45="●",[13]回答表!B223,"")),"")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IF([13]回答表!F17="下水道事業",IF([13]回答表!X45="●",[13]回答表!B212,IF([13]回答表!AA45="●",[13]回答表!B278,"")),"")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IF([13]回答表!F17="下水道事業",IF([13]回答表!X45="●",[13]回答表!Y193,IF([13]回答表!AA45="●",[13]回答表!Y259,"")),"")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IF([13]回答表!F17="下水道事業",IF([13]回答表!X45="●",[13]回答表!E212,IF([13]回答表!AA45="●",[13]回答表!E278,"")),"")</f>
        <v/>
      </c>
      <c r="BG142" s="151"/>
      <c r="BH142" s="151"/>
      <c r="BI142" s="151"/>
      <c r="BJ142" s="150" t="str">
        <f>IF([13]回答表!F17="下水道事業",IF([13]回答表!X45="●",[13]回答表!E213,IF([13]回答表!AA45="●",[13]回答表!E279,"")),"")</f>
        <v/>
      </c>
      <c r="BK142" s="151"/>
      <c r="BL142" s="151"/>
      <c r="BM142" s="151"/>
      <c r="BN142" s="150" t="str">
        <f>IF([13]回答表!F17="下水道事業",IF([13]回答表!X45="●",[13]回答表!E214,IF([13]回答表!AA45="●",[13]回答表!E280,"")),"")</f>
        <v/>
      </c>
      <c r="BO142" s="151"/>
      <c r="BP142" s="151"/>
      <c r="BQ142" s="152"/>
      <c r="BR142" s="112"/>
      <c r="BX142" s="200" t="str">
        <f>IF([13]回答表!AQ20="下水道事業",IF([13]回答表!BI48="○",[13]回答表!AM161,IF([13]回答表!BL48="○",[13]回答表!AM226,"")),"")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IF([13]回答表!F17="下水道事業",IF([13]回答表!X45="●",[13]回答表!Y195,IF([13]回答表!AA45="●",[13]回答表!Y261,"")),"")</f>
        <v/>
      </c>
      <c r="V147" s="83"/>
      <c r="W147" s="83"/>
      <c r="X147" s="83"/>
      <c r="Y147" s="83"/>
      <c r="Z147" s="83"/>
      <c r="AA147" s="83"/>
      <c r="AB147" s="153"/>
      <c r="AC147" s="82" t="str">
        <f>IF([13]回答表!F17="下水道事業",IF([13]回答表!X45="●",[13]回答表!Y196,IF([13]回答表!AA45="●",[13]回答表!Y262,"")),"")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IF([13]回答表!F17="下水道事業",IF([13]回答表!X45="●",[13]回答表!Y198,IF([13]回答表!AA45="●",[13]回答表!Y264,"")),"")</f>
        <v/>
      </c>
      <c r="V153" s="83"/>
      <c r="W153" s="83"/>
      <c r="X153" s="83"/>
      <c r="Y153" s="83"/>
      <c r="Z153" s="83"/>
      <c r="AA153" s="83"/>
      <c r="AB153" s="153"/>
      <c r="AC153" s="82" t="str">
        <f>IF([13]回答表!F17="下水道事業",IF([13]回答表!X45="●",[13]回答表!Y199,IF([13]回答表!AA45="●",[13]回答表!Y265,"")),"")</f>
        <v/>
      </c>
      <c r="AD153" s="83"/>
      <c r="AE153" s="83"/>
      <c r="AF153" s="83"/>
      <c r="AG153" s="83"/>
      <c r="AH153" s="83"/>
      <c r="AI153" s="83"/>
      <c r="AJ153" s="153"/>
      <c r="AK153" s="82" t="str">
        <f>IF([13]回答表!F17="下水道事業",IF([13]回答表!X45="●",[13]回答表!Y200,IF([13]回答表!AA45="●",[13]回答表!Y266,"")),"")</f>
        <v/>
      </c>
      <c r="AL153" s="83"/>
      <c r="AM153" s="83"/>
      <c r="AN153" s="83"/>
      <c r="AO153" s="83"/>
      <c r="AP153" s="83"/>
      <c r="AQ153" s="83"/>
      <c r="AR153" s="153"/>
      <c r="AS153" s="82" t="str">
        <f>IF([13]回答表!F17="下水道事業",IF([13]回答表!X45="●",[13]回答表!Y201,IF([13]回答表!AA45="●",[13]回答表!Y267,"")),"")</f>
        <v/>
      </c>
      <c r="AT153" s="83"/>
      <c r="AU153" s="83"/>
      <c r="AV153" s="83"/>
      <c r="AW153" s="83"/>
      <c r="AX153" s="83"/>
      <c r="AY153" s="83"/>
      <c r="AZ153" s="153"/>
      <c r="BA153" s="82" t="str">
        <f>IF([13]回答表!F17="下水道事業",IF([13]回答表!X45="●",[13]回答表!Y202,IF([13]回答表!AA45="●",[13]回答表!Y268,"")),"")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IF([13]回答表!F17="下水道事業",IF([13]回答表!AA45="●","●",""),"")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IF([13]回答表!F17="下水道事業",IF([13]回答表!X45="●",[13]回答表!Y207,IF([13]回答表!AA45="●",[13]回答表!Y273,"")),"")</f>
        <v/>
      </c>
      <c r="V159" s="83"/>
      <c r="W159" s="83"/>
      <c r="X159" s="83"/>
      <c r="Y159" s="83"/>
      <c r="Z159" s="83"/>
      <c r="AA159" s="83"/>
      <c r="AB159" s="153"/>
      <c r="AC159" s="82" t="str">
        <f>IF([13]回答表!F17="下水道事業",IF([13]回答表!X45="●",[13]回答表!Y208,IF([13]回答表!AA45="●",[13]回答表!Y274,"")),"")</f>
        <v/>
      </c>
      <c r="AD159" s="83"/>
      <c r="AE159" s="83"/>
      <c r="AF159" s="83"/>
      <c r="AG159" s="83"/>
      <c r="AH159" s="83"/>
      <c r="AI159" s="83"/>
      <c r="AJ159" s="153"/>
      <c r="AK159" s="82" t="str">
        <f>IF([13]回答表!F17="下水道事業",IF([13]回答表!X45="●",[13]回答表!Y209,IF([13]回答表!AA45="●",[13]回答表!Y275,"")),"")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IF([13]回答表!F17="下水道事業",IF([13]回答表!AD45="●","●",""),"")</f>
        <v/>
      </c>
      <c r="O164" s="131"/>
      <c r="P164" s="131"/>
      <c r="Q164" s="132"/>
      <c r="R164" s="119"/>
      <c r="S164" s="119"/>
      <c r="T164" s="119"/>
      <c r="U164" s="133" t="str">
        <f>IF([13]回答表!F17="下水道事業",IF([13]回答表!AD45="●",[13]回答表!B289,""),"")</f>
        <v/>
      </c>
      <c r="V164" s="134"/>
      <c r="W164" s="134"/>
      <c r="X164" s="134"/>
      <c r="Y164" s="134"/>
      <c r="Z164" s="134"/>
      <c r="AA164" s="134"/>
      <c r="AB164" s="134"/>
      <c r="AC164" s="134"/>
      <c r="AD164" s="134"/>
      <c r="AE164" s="134"/>
      <c r="AF164" s="134"/>
      <c r="AG164" s="134"/>
      <c r="AH164" s="134"/>
      <c r="AI164" s="134"/>
      <c r="AJ164" s="135"/>
      <c r="AK164" s="183"/>
      <c r="AL164" s="183"/>
      <c r="AM164" s="133" t="str">
        <f>IF([13]回答表!F17="下水道事業",IF([13]回答表!AD45="●",[13]回答表!B295,""),"")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IF([13]回答表!BD17="●",IF([13]回答表!X45="●","●",""),"")</f>
        <v/>
      </c>
      <c r="O176" s="131"/>
      <c r="P176" s="131"/>
      <c r="Q176" s="132"/>
      <c r="R176" s="119"/>
      <c r="S176" s="119"/>
      <c r="T176" s="119"/>
      <c r="U176" s="133" t="str">
        <f>IF([13]回答表!BD17="●",IF([13]回答表!X45="●",[13]回答表!B158,IF([13]回答表!AA45="●",[13]回答表!B223,"")),"")</f>
        <v/>
      </c>
      <c r="V176" s="134"/>
      <c r="W176" s="134"/>
      <c r="X176" s="134"/>
      <c r="Y176" s="134"/>
      <c r="Z176" s="134"/>
      <c r="AA176" s="134"/>
      <c r="AB176" s="134"/>
      <c r="AC176" s="134"/>
      <c r="AD176" s="134"/>
      <c r="AE176" s="134"/>
      <c r="AF176" s="134"/>
      <c r="AG176" s="134"/>
      <c r="AH176" s="134"/>
      <c r="AI176" s="134"/>
      <c r="AJ176" s="135"/>
      <c r="AK176" s="136"/>
      <c r="AL176" s="136"/>
      <c r="AM176" s="138" t="str">
        <f>IF([13]回答表!BD17="●",IF([13]回答表!X45="●",[13]回答表!B212,IF([13]回答表!AA45="●",[13]回答表!B278,"")),"")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IF([13]回答表!BD17="●",IF([13]回答表!X45="●",[13]回答表!E212,IF([13]回答表!AA45="●",[13]回答表!E278,"")),"")</f>
        <v/>
      </c>
      <c r="AN179" s="151"/>
      <c r="AO179" s="151"/>
      <c r="AP179" s="151"/>
      <c r="AQ179" s="150" t="str">
        <f>IF([13]回答表!BD17="●",IF([13]回答表!X45="●",[13]回答表!E213,IF([13]回答表!AA45="●",[13]回答表!E279,"")),"")</f>
        <v/>
      </c>
      <c r="AR179" s="151"/>
      <c r="AS179" s="151"/>
      <c r="AT179" s="151"/>
      <c r="AU179" s="150" t="str">
        <f>IF([13]回答表!BD17="●",IF([13]回答表!X45="●",[13]回答表!E214,IF([13]回答表!AA45="●",[13]回答表!E280,"")),"")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IF([13]回答表!BD17="●",IF([13]回答表!AA45="●","●",""),"")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IF([13]回答表!BD17="●",IF([13]回答表!AD45="●","●",""),"")</f>
        <v/>
      </c>
      <c r="O188" s="131"/>
      <c r="P188" s="131"/>
      <c r="Q188" s="132"/>
      <c r="R188" s="119"/>
      <c r="S188" s="119"/>
      <c r="T188" s="119"/>
      <c r="U188" s="133" t="str">
        <f>IF([13]回答表!BD17="●",IF([13]回答表!AD45="●",[13]回答表!B289,""),"")</f>
        <v/>
      </c>
      <c r="V188" s="134"/>
      <c r="W188" s="134"/>
      <c r="X188" s="134"/>
      <c r="Y188" s="134"/>
      <c r="Z188" s="134"/>
      <c r="AA188" s="134"/>
      <c r="AB188" s="134"/>
      <c r="AC188" s="134"/>
      <c r="AD188" s="134"/>
      <c r="AE188" s="134"/>
      <c r="AF188" s="134"/>
      <c r="AG188" s="134"/>
      <c r="AH188" s="134"/>
      <c r="AI188" s="134"/>
      <c r="AJ188" s="135"/>
      <c r="AK188" s="183"/>
      <c r="AL188" s="183"/>
      <c r="AM188" s="133" t="str">
        <f>IF([13]回答表!BD17="●",IF([13]回答表!AD45="●",[13]回答表!B295,""),"")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IF([13]回答表!X46="●","●","")</f>
        <v/>
      </c>
      <c r="O200" s="131"/>
      <c r="P200" s="131"/>
      <c r="Q200" s="132"/>
      <c r="R200" s="119"/>
      <c r="S200" s="119"/>
      <c r="T200" s="119"/>
      <c r="U200" s="133" t="str">
        <f>IF([13]回答表!X46="●",[13]回答表!B307,IF([13]回答表!AA46="●",[13]回答表!B324,""))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IF([13]回答表!X46="●",[13]回答表!U313,IF([13]回答表!AA46="●",[13]回答表!U330,""))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IF([13]回答表!X46="●",[13]回答表!G313,IF([13]回答表!AA46="●",[13]回答表!G330,""))</f>
        <v/>
      </c>
      <c r="AN203" s="83"/>
      <c r="AO203" s="83"/>
      <c r="AP203" s="83"/>
      <c r="AQ203" s="83"/>
      <c r="AR203" s="83"/>
      <c r="AS203" s="83"/>
      <c r="AT203" s="153"/>
      <c r="AU203" s="82" t="str">
        <f>IF([13]回答表!X46="●",[13]回答表!G314,IF([13]回答表!AA46="●",[13]回答表!G331,""))</f>
        <v/>
      </c>
      <c r="AV203" s="83"/>
      <c r="AW203" s="83"/>
      <c r="AX203" s="83"/>
      <c r="AY203" s="83"/>
      <c r="AZ203" s="83"/>
      <c r="BA203" s="83"/>
      <c r="BB203" s="153"/>
      <c r="BC203" s="120"/>
      <c r="BD203" s="109"/>
      <c r="BE203" s="109"/>
      <c r="BF203" s="150" t="str">
        <f>IF([13]回答表!X46="●",[13]回答表!X313,IF([13]回答表!AA46="●",[13]回答表!X330,""))</f>
        <v/>
      </c>
      <c r="BG203" s="151"/>
      <c r="BH203" s="151"/>
      <c r="BI203" s="151"/>
      <c r="BJ203" s="150" t="str">
        <f>IF([13]回答表!X46="●",[13]回答表!X314,IF([13]回答表!AA46="●",[13]回答表!X331,""))</f>
        <v/>
      </c>
      <c r="BK203" s="151"/>
      <c r="BL203" s="151"/>
      <c r="BM203" s="152"/>
      <c r="BN203" s="150" t="str">
        <f>IF([13]回答表!X46="●",[13]回答表!X315,IF([13]回答表!AA46="●",[13]回答表!X332,""))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IF([13]回答表!AD46="●","●","")</f>
        <v/>
      </c>
      <c r="O212" s="131"/>
      <c r="P212" s="131"/>
      <c r="Q212" s="132"/>
      <c r="R212" s="119"/>
      <c r="S212" s="119"/>
      <c r="T212" s="119"/>
      <c r="U212" s="133" t="str">
        <f>IF([13]回答表!AD46="●",[13]回答表!B337,"")</f>
        <v/>
      </c>
      <c r="V212" s="134"/>
      <c r="W212" s="134"/>
      <c r="X212" s="134"/>
      <c r="Y212" s="134"/>
      <c r="Z212" s="134"/>
      <c r="AA212" s="134"/>
      <c r="AB212" s="134"/>
      <c r="AC212" s="134"/>
      <c r="AD212" s="134"/>
      <c r="AE212" s="134"/>
      <c r="AF212" s="134"/>
      <c r="AG212" s="134"/>
      <c r="AH212" s="134"/>
      <c r="AI212" s="134"/>
      <c r="AJ212" s="135"/>
      <c r="AK212" s="259"/>
      <c r="AL212" s="259"/>
      <c r="AM212" s="133" t="str">
        <f>IF([13]回答表!AD46="●",[13]回答表!B343,"")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IF([13]回答表!X47="●","●","")</f>
        <v/>
      </c>
      <c r="O224" s="131"/>
      <c r="P224" s="131"/>
      <c r="Q224" s="132"/>
      <c r="R224" s="119"/>
      <c r="S224" s="119"/>
      <c r="T224" s="119"/>
      <c r="U224" s="133" t="str">
        <f>IF([13]回答表!X47="●",[13]回答表!B356,IF([13]回答表!AA47="●",[13]回答表!B379,""))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IF([13]回答表!X47="●",[13]回答表!B362,"")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IF([13]回答表!X47="●",[13]回答表!B368,IF([13]回答表!AA47="●",[13]回答表!B385,""))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IF([13]回答表!X47="●",[13]回答表!E368,IF([13]回答表!AA47="●",[13]回答表!E385,""))</f>
        <v/>
      </c>
      <c r="BG227" s="151"/>
      <c r="BH227" s="151"/>
      <c r="BI227" s="151"/>
      <c r="BJ227" s="150" t="str">
        <f>IF([13]回答表!X47="●",[13]回答表!E369,IF([13]回答表!AA47="●",[13]回答表!E386,""))</f>
        <v/>
      </c>
      <c r="BK227" s="151"/>
      <c r="BL227" s="151"/>
      <c r="BM227" s="152"/>
      <c r="BN227" s="150" t="str">
        <f>IF([13]回答表!X47="●",[13]回答表!E370,IF([13]回答表!AA47="●",[13]回答表!E387,""))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IF([13]回答表!AD47="●","●","")</f>
        <v/>
      </c>
      <c r="O236" s="131"/>
      <c r="P236" s="131"/>
      <c r="Q236" s="132"/>
      <c r="R236" s="119"/>
      <c r="S236" s="119"/>
      <c r="T236" s="119"/>
      <c r="U236" s="133" t="str">
        <f>IF([13]回答表!AD47="●",[13]回答表!B392,"")</f>
        <v/>
      </c>
      <c r="V236" s="134"/>
      <c r="W236" s="134"/>
      <c r="X236" s="134"/>
      <c r="Y236" s="134"/>
      <c r="Z236" s="134"/>
      <c r="AA236" s="134"/>
      <c r="AB236" s="134"/>
      <c r="AC236" s="134"/>
      <c r="AD236" s="134"/>
      <c r="AE236" s="134"/>
      <c r="AF236" s="134"/>
      <c r="AG236" s="134"/>
      <c r="AH236" s="134"/>
      <c r="AI236" s="134"/>
      <c r="AJ236" s="135"/>
      <c r="AK236" s="259"/>
      <c r="AL236" s="259"/>
      <c r="AM236" s="133" t="str">
        <f>IF([13]回答表!AD47="●",[13]回答表!B398,"")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IF([13]回答表!X48="●","●","")</f>
        <v/>
      </c>
      <c r="O248" s="131"/>
      <c r="P248" s="131"/>
      <c r="Q248" s="132"/>
      <c r="R248" s="119"/>
      <c r="S248" s="119"/>
      <c r="T248" s="119"/>
      <c r="U248" s="133" t="str">
        <f>IF([13]回答表!X48="●",[13]回答表!B411,IF([13]回答表!AA48="●",[13]回答表!B425,""))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IF([13]回答表!X48="●",[13]回答表!BC418,IF([13]回答表!AA48="●",[13]回答表!BC432,""))</f>
        <v/>
      </c>
      <c r="AR248" s="272"/>
      <c r="AS248" s="272"/>
      <c r="AT248" s="272"/>
      <c r="AU248" s="273" t="s">
        <v>73</v>
      </c>
      <c r="AV248" s="274"/>
      <c r="AW248" s="274"/>
      <c r="AX248" s="275"/>
      <c r="AY248" s="272" t="str">
        <f>IF([13]回答表!X48="●",[13]回答表!BC423,IF([13]回答表!AA48="●",[13]回答表!BC437,""))</f>
        <v/>
      </c>
      <c r="AZ248" s="272"/>
      <c r="BA248" s="272"/>
      <c r="BB248" s="272"/>
      <c r="BC248" s="120"/>
      <c r="BD248" s="109"/>
      <c r="BE248" s="109"/>
      <c r="BF248" s="138" t="str">
        <f>IF([13]回答表!X48="●",[13]回答表!S417,IF([13]回答表!AA48="●",[13]回答表!S431,""))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IF([13]回答表!X48="●",[13]回答表!BC419,IF([13]回答表!AA48="●",[13]回答表!BC433,""))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IF([13]回答表!X48="●",[13]回答表!V417,IF([13]回答表!AA48="●",[13]回答表!V431,""))</f>
        <v/>
      </c>
      <c r="BG251" s="151"/>
      <c r="BH251" s="151"/>
      <c r="BI251" s="151"/>
      <c r="BJ251" s="150" t="str">
        <f>IF([13]回答表!X48="●",[13]回答表!V418,IF([13]回答表!AA48="●",[13]回答表!V432,""))</f>
        <v/>
      </c>
      <c r="BK251" s="151"/>
      <c r="BL251" s="151"/>
      <c r="BM251" s="152"/>
      <c r="BN251" s="150" t="str">
        <f>IF([13]回答表!X48="●",[13]回答表!V419,IF([13]回答表!AA48="●",[13]回答表!V433,""))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IF([13]回答表!X48="●",[13]回答表!BC420,IF([13]回答表!AA48="●",[13]回答表!BC434,""))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IF([13]回答表!X48="●",[13]回答表!BC424,IF([13]回答表!AA48="●",[13]回答表!BC438,""))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IF([13]回答表!X48="●",[13]回答表!BC421,IF([13]回答表!AA48="●",[13]回答表!BC435,""))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IF([13]回答表!X48="●",[13]回答表!BC422,IF([13]回答表!AA48="●",[13]回答表!BC436,""))</f>
        <v/>
      </c>
      <c r="AR256" s="272"/>
      <c r="AS256" s="272"/>
      <c r="AT256" s="272"/>
      <c r="AU256" s="224" t="s">
        <v>79</v>
      </c>
      <c r="AV256" s="225"/>
      <c r="AW256" s="225"/>
      <c r="AX256" s="226"/>
      <c r="AY256" s="282" t="str">
        <f>IF([13]回答表!X48="●",[13]回答表!BC425,IF([13]回答表!AA48="●",[13]回答表!BC439,""))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IF([13]回答表!AD48="●","●","")</f>
        <v/>
      </c>
      <c r="O260" s="131"/>
      <c r="P260" s="131"/>
      <c r="Q260" s="132"/>
      <c r="R260" s="119"/>
      <c r="S260" s="119"/>
      <c r="T260" s="119"/>
      <c r="U260" s="133" t="str">
        <f>IF([13]回答表!AD48="●",[13]回答表!B439,"")</f>
        <v/>
      </c>
      <c r="V260" s="134"/>
      <c r="W260" s="134"/>
      <c r="X260" s="134"/>
      <c r="Y260" s="134"/>
      <c r="Z260" s="134"/>
      <c r="AA260" s="134"/>
      <c r="AB260" s="134"/>
      <c r="AC260" s="134"/>
      <c r="AD260" s="134"/>
      <c r="AE260" s="134"/>
      <c r="AF260" s="134"/>
      <c r="AG260" s="134"/>
      <c r="AH260" s="134"/>
      <c r="AI260" s="134"/>
      <c r="AJ260" s="135"/>
      <c r="AK260" s="183"/>
      <c r="AL260" s="183"/>
      <c r="AM260" s="133" t="str">
        <f>IF([13]回答表!AD48="●",[13]回答表!B445,"")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IF([13]回答表!X49="●","●","")</f>
        <v/>
      </c>
      <c r="O271" s="131"/>
      <c r="P271" s="131"/>
      <c r="Q271" s="132"/>
      <c r="R271" s="119"/>
      <c r="S271" s="119"/>
      <c r="T271" s="119"/>
      <c r="U271" s="133" t="str">
        <f>IF([13]回答表!X49="●",[13]回答表!B458,IF([13]回答表!AA49="●",[13]回答表!B475,""))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IF([13]回答表!X49="●",[13]回答表!B468,IF([13]回答表!AA49="●",[13]回答表!B485,""))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IF([13]回答表!X49="●",[13]回答表!G464,IF([13]回答表!AA49="●",[13]回答表!G481,""))</f>
        <v/>
      </c>
      <c r="AN273" s="83"/>
      <c r="AO273" s="83"/>
      <c r="AP273" s="83"/>
      <c r="AQ273" s="83"/>
      <c r="AR273" s="83"/>
      <c r="AS273" s="83"/>
      <c r="AT273" s="153"/>
      <c r="AU273" s="82" t="str">
        <f>IF([13]回答表!X49="●",[13]回答表!G465,IF([13]回答表!AA49="●",[13]回答表!G482,""))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IF([13]回答表!X49="●",[13]回答表!E468,IF([13]回答表!AA49="●",[13]回答表!E485,""))</f>
        <v/>
      </c>
      <c r="BG274" s="151"/>
      <c r="BH274" s="151"/>
      <c r="BI274" s="151"/>
      <c r="BJ274" s="150" t="str">
        <f>IF([13]回答表!X49="●",[13]回答表!E469,IF([13]回答表!AA49="●",[13]回答表!E486,""))</f>
        <v/>
      </c>
      <c r="BK274" s="151"/>
      <c r="BL274" s="151"/>
      <c r="BM274" s="152"/>
      <c r="BN274" s="150" t="str">
        <f>IF([13]回答表!X49="●",[13]回答表!E470,IF([13]回答表!AA49="●",[13]回答表!E487,""))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IF([13]回答表!AD49="●","●","")</f>
        <v/>
      </c>
      <c r="O283" s="131"/>
      <c r="P283" s="131"/>
      <c r="Q283" s="132"/>
      <c r="R283" s="119"/>
      <c r="S283" s="119"/>
      <c r="T283" s="119"/>
      <c r="U283" s="133" t="str">
        <f>IF([13]回答表!AD49="●",[13]回答表!B492,"")</f>
        <v/>
      </c>
      <c r="V283" s="134"/>
      <c r="W283" s="134"/>
      <c r="X283" s="134"/>
      <c r="Y283" s="134"/>
      <c r="Z283" s="134"/>
      <c r="AA283" s="134"/>
      <c r="AB283" s="134"/>
      <c r="AC283" s="134"/>
      <c r="AD283" s="134"/>
      <c r="AE283" s="134"/>
      <c r="AF283" s="134"/>
      <c r="AG283" s="134"/>
      <c r="AH283" s="134"/>
      <c r="AI283" s="134"/>
      <c r="AJ283" s="135"/>
      <c r="AK283" s="136"/>
      <c r="AL283" s="136"/>
      <c r="AM283" s="133" t="str">
        <f>IF([13]回答表!AD49="●",[13]回答表!B498,"")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IF([13]回答表!R50="●",[13]回答表!B511,"")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33EA1-E909-443B-A997-FCA9541291B9}">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IF(COUNTIF([14]回答表!K15,"*")&gt;0,[14]回答表!K15,"")</f>
        <v>大仙市</v>
      </c>
      <c r="D11" s="8"/>
      <c r="E11" s="8"/>
      <c r="F11" s="8"/>
      <c r="G11" s="8"/>
      <c r="H11" s="8"/>
      <c r="I11" s="8"/>
      <c r="J11" s="8"/>
      <c r="K11" s="8"/>
      <c r="L11" s="8"/>
      <c r="M11" s="8"/>
      <c r="N11" s="8"/>
      <c r="O11" s="8"/>
      <c r="P11" s="8"/>
      <c r="Q11" s="8"/>
      <c r="R11" s="8"/>
      <c r="S11" s="8"/>
      <c r="T11" s="8"/>
      <c r="U11" s="22" t="str">
        <f>IF(COUNTIF([14]回答表!F17,"*")&gt;0,[14]回答表!F17,"")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IF(COUNTIF([14]回答表!W17,"*")&gt;0,[14]回答表!W17,"")</f>
        <v>老人短期入所施設</v>
      </c>
      <c r="AP11" s="10"/>
      <c r="AQ11" s="10"/>
      <c r="AR11" s="10"/>
      <c r="AS11" s="10"/>
      <c r="AT11" s="10"/>
      <c r="AU11" s="10"/>
      <c r="AV11" s="10"/>
      <c r="AW11" s="10"/>
      <c r="AX11" s="10"/>
      <c r="AY11" s="10"/>
      <c r="AZ11" s="10"/>
      <c r="BA11" s="10"/>
      <c r="BB11" s="10"/>
      <c r="BC11" s="10"/>
      <c r="BD11" s="10"/>
      <c r="BE11" s="10"/>
      <c r="BF11" s="11"/>
      <c r="BG11" s="21" t="str">
        <f>IF(COUNTIF([14]回答表!F19,"*")&gt;0,[14]回答表!F19,"")</f>
        <v>介護老人福祉施設介護サービス事業特別会計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IF([14]回答表!R43="●","●","")</f>
        <v/>
      </c>
      <c r="E24" s="80"/>
      <c r="F24" s="80"/>
      <c r="G24" s="80"/>
      <c r="H24" s="80"/>
      <c r="I24" s="80"/>
      <c r="J24" s="81"/>
      <c r="K24" s="79" t="str">
        <f>IF([14]回答表!R44="●","●","")</f>
        <v>●</v>
      </c>
      <c r="L24" s="80"/>
      <c r="M24" s="80"/>
      <c r="N24" s="80"/>
      <c r="O24" s="80"/>
      <c r="P24" s="80"/>
      <c r="Q24" s="81"/>
      <c r="R24" s="79" t="str">
        <f>IF([14]回答表!R45="●","●","")</f>
        <v/>
      </c>
      <c r="S24" s="80"/>
      <c r="T24" s="80"/>
      <c r="U24" s="80"/>
      <c r="V24" s="80"/>
      <c r="W24" s="80"/>
      <c r="X24" s="81"/>
      <c r="Y24" s="79" t="str">
        <f>IF([14]回答表!R46="●","●","")</f>
        <v/>
      </c>
      <c r="Z24" s="80"/>
      <c r="AA24" s="80"/>
      <c r="AB24" s="80"/>
      <c r="AC24" s="80"/>
      <c r="AD24" s="80"/>
      <c r="AE24" s="81"/>
      <c r="AF24" s="79" t="str">
        <f>IF([14]回答表!R47="●","●","")</f>
        <v/>
      </c>
      <c r="AG24" s="80"/>
      <c r="AH24" s="80"/>
      <c r="AI24" s="80"/>
      <c r="AJ24" s="80"/>
      <c r="AK24" s="80"/>
      <c r="AL24" s="81"/>
      <c r="AM24" s="79" t="str">
        <f>IF([14]回答表!R48="●","●","")</f>
        <v/>
      </c>
      <c r="AN24" s="80"/>
      <c r="AO24" s="80"/>
      <c r="AP24" s="80"/>
      <c r="AQ24" s="80"/>
      <c r="AR24" s="80"/>
      <c r="AS24" s="81"/>
      <c r="AT24" s="79" t="str">
        <f>IF([14]回答表!R49="●","●","")</f>
        <v/>
      </c>
      <c r="AU24" s="80"/>
      <c r="AV24" s="80"/>
      <c r="AW24" s="80"/>
      <c r="AX24" s="80"/>
      <c r="AY24" s="80"/>
      <c r="AZ24" s="81"/>
      <c r="BA24" s="68"/>
      <c r="BB24" s="82" t="str">
        <f>IF([14]回答表!R50="●","●","")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IF([14]回答表!X43="●","●","")</f>
        <v/>
      </c>
      <c r="O36" s="131"/>
      <c r="P36" s="131"/>
      <c r="Q36" s="132"/>
      <c r="R36" s="119"/>
      <c r="S36" s="119"/>
      <c r="T36" s="119"/>
      <c r="U36" s="133" t="str">
        <f>IF([14]回答表!X43="●",[14]回答表!B59,IF([14]回答表!AA43="●",[14]回答表!B79,""))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IF([14]回答表!X43="●",[14]回答表!S65,IF([14]回答表!AA43="●",[14]回答表!S85,""))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IF([14]回答表!X43="●",[14]回答表!G65,IF([14]回答表!AA43="●",[14]回答表!G85,""))</f>
        <v/>
      </c>
      <c r="AN38" s="83"/>
      <c r="AO38" s="83"/>
      <c r="AP38" s="83"/>
      <c r="AQ38" s="83"/>
      <c r="AR38" s="83"/>
      <c r="AS38" s="83"/>
      <c r="AT38" s="153"/>
      <c r="AU38" s="82" t="str">
        <f>IF([14]回答表!X43="●",[14]回答表!G66,IF([14]回答表!AA43="●",[14]回答表!G86,""))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IF([14]回答表!X43="●",[14]回答表!V65,IF([14]回答表!AA43="●",[14]回答表!V85,""))</f>
        <v/>
      </c>
      <c r="BG39" s="16"/>
      <c r="BH39" s="16"/>
      <c r="BI39" s="17"/>
      <c r="BJ39" s="150" t="str">
        <f>IF([14]回答表!X43="●",[14]回答表!V66,IF([14]回答表!AA43="●",[14]回答表!V86,""))</f>
        <v/>
      </c>
      <c r="BK39" s="16"/>
      <c r="BL39" s="16"/>
      <c r="BM39" s="17"/>
      <c r="BN39" s="150" t="str">
        <f>IF([14]回答表!X43="●",[14]回答表!V67,IF([14]回答表!AA43="●",[14]回答表!V87,""))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IF([14]回答表!X43="●",[14]回答表!O71,IF([14]回答表!AA43="●",[14]回答表!O91,""))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IF([14]回答表!X43="●",[14]回答表!O72,IF([14]回答表!AA43="●",[14]回答表!O92,""))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IF([14]回答表!X43="●",[14]回答表!O73,IF([14]回答表!AA43="●",[14]回答表!O93,""))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IF([14]回答表!X43="●",[14]回答表!O74,IF([14]回答表!AA43="●",[14]回答表!O94,""))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IF([14]回答表!X43="●",[14]回答表!AG71,IF([14]回答表!AA43="●",[14]回答表!AG91,""))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IF([14]回答表!X43="●",[14]回答表!AG72,IF([14]回答表!AA43="●",[14]回答表!AG92,""))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IF([14]回答表!AD43="●","●","")</f>
        <v/>
      </c>
      <c r="O51" s="131"/>
      <c r="P51" s="131"/>
      <c r="Q51" s="132"/>
      <c r="R51" s="119"/>
      <c r="S51" s="119"/>
      <c r="T51" s="119"/>
      <c r="U51" s="133" t="str">
        <f>IF([14]回答表!AD43="●",[14]回答表!B99,"")</f>
        <v/>
      </c>
      <c r="V51" s="134"/>
      <c r="W51" s="134"/>
      <c r="X51" s="134"/>
      <c r="Y51" s="134"/>
      <c r="Z51" s="134"/>
      <c r="AA51" s="134"/>
      <c r="AB51" s="134"/>
      <c r="AC51" s="134"/>
      <c r="AD51" s="134"/>
      <c r="AE51" s="134"/>
      <c r="AF51" s="134"/>
      <c r="AG51" s="134"/>
      <c r="AH51" s="134"/>
      <c r="AI51" s="134"/>
      <c r="AJ51" s="135"/>
      <c r="AK51" s="183"/>
      <c r="AL51" s="183"/>
      <c r="AM51" s="133" t="str">
        <f>IF([14]回答表!AD43="●",[14]回答表!B104,"")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IF([14]回答表!X44="●","●","")</f>
        <v>●</v>
      </c>
      <c r="O62" s="131"/>
      <c r="P62" s="131"/>
      <c r="Q62" s="132"/>
      <c r="R62" s="119"/>
      <c r="S62" s="119"/>
      <c r="T62" s="119"/>
      <c r="U62" s="133" t="str">
        <f>IF([14]回答表!X44="●",[14]回答表!B115,IF([14]回答表!AA44="●",[14]回答表!B127,""))</f>
        <v>市立の介護保険施設４施設を法人へ移譲、民営化したことにより、施設数の削減が図られた。</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IF([14]回答表!X44="●",[14]回答表!S121,IF([14]回答表!AA44="●",[14]回答表!S133,""))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IF([14]回答表!X44="●",[14]回答表!J121,IF([14]回答表!AA44="●",[14]回答表!J133,""))</f>
        <v>●</v>
      </c>
      <c r="AN65" s="83"/>
      <c r="AO65" s="83"/>
      <c r="AP65" s="83"/>
      <c r="AQ65" s="83"/>
      <c r="AR65" s="83"/>
      <c r="AS65" s="83"/>
      <c r="AT65" s="153"/>
      <c r="AU65" s="82" t="str">
        <f>IF([14]回答表!X44="●",[14]回答表!J122,IF([14]回答表!AA44="●",[14]回答表!J134,""))</f>
        <v xml:space="preserve"> </v>
      </c>
      <c r="AV65" s="83"/>
      <c r="AW65" s="83"/>
      <c r="AX65" s="83"/>
      <c r="AY65" s="83"/>
      <c r="AZ65" s="83"/>
      <c r="BA65" s="83"/>
      <c r="BB65" s="153"/>
      <c r="BC65" s="120"/>
      <c r="BD65" s="109"/>
      <c r="BE65" s="109"/>
      <c r="BF65" s="150">
        <f>IF([14]回答表!X44="●",[14]回答表!V121,IF([14]回答表!AA44="●",[14]回答表!V133,""))</f>
        <v>23</v>
      </c>
      <c r="BG65" s="151"/>
      <c r="BH65" s="151"/>
      <c r="BI65" s="151"/>
      <c r="BJ65" s="150">
        <f>IF([14]回答表!X44="●",[14]回答表!V122,IF([14]回答表!AA44="●",[14]回答表!V134,""))</f>
        <v>4</v>
      </c>
      <c r="BK65" s="151"/>
      <c r="BL65" s="151"/>
      <c r="BM65" s="151"/>
      <c r="BN65" s="150">
        <f>IF([14]回答表!X44="●",[14]回答表!V123,IF([14]回答表!AA44="●",[14]回答表!V135,""))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IF([14]回答表!AD44="●","●","")</f>
        <v/>
      </c>
      <c r="O74" s="131"/>
      <c r="P74" s="131"/>
      <c r="Q74" s="132"/>
      <c r="R74" s="119"/>
      <c r="S74" s="119"/>
      <c r="T74" s="119"/>
      <c r="U74" s="133" t="str">
        <f>IF([14]回答表!AD44="●",[14]回答表!B140,"")</f>
        <v/>
      </c>
      <c r="V74" s="134"/>
      <c r="W74" s="134"/>
      <c r="X74" s="134"/>
      <c r="Y74" s="134"/>
      <c r="Z74" s="134"/>
      <c r="AA74" s="134"/>
      <c r="AB74" s="134"/>
      <c r="AC74" s="134"/>
      <c r="AD74" s="134"/>
      <c r="AE74" s="134"/>
      <c r="AF74" s="134"/>
      <c r="AG74" s="134"/>
      <c r="AH74" s="134"/>
      <c r="AI74" s="134"/>
      <c r="AJ74" s="135"/>
      <c r="AK74" s="183"/>
      <c r="AL74" s="183"/>
      <c r="AM74" s="133" t="str">
        <f>IF([14]回答表!AD44="●",[14]回答表!B146,"")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IF([14]回答表!F17="水道事業",IF([14]回答表!X45="●","●",""),"")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IF([14]回答表!F17="水道事業",IF([14]回答表!X45="●",[14]回答表!B158,IF([14]回答表!AA45="●",[14]回答表!B223,"")),"")</f>
        <v/>
      </c>
      <c r="AN86" s="201"/>
      <c r="AO86" s="201"/>
      <c r="AP86" s="201"/>
      <c r="AQ86" s="201"/>
      <c r="AR86" s="201"/>
      <c r="AS86" s="201"/>
      <c r="AT86" s="201"/>
      <c r="AU86" s="201"/>
      <c r="AV86" s="201"/>
      <c r="AW86" s="201"/>
      <c r="AX86" s="201"/>
      <c r="AY86" s="201"/>
      <c r="AZ86" s="201"/>
      <c r="BA86" s="201"/>
      <c r="BB86" s="201"/>
      <c r="BC86" s="202"/>
      <c r="BD86" s="109"/>
      <c r="BE86" s="109"/>
      <c r="BF86" s="138" t="str">
        <f>IF([14]回答表!F17="水道事業",IF([14]回答表!X45="●",[14]回答表!B212,IF([14]回答表!AA45="●",[14]回答表!B278,"")),"")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IF([14]回答表!F17="水道事業",IF([14]回答表!X45="●",[14]回答表!J166,IF([14]回答表!AA45="●",[14]回答表!J231,"")),"")</f>
        <v/>
      </c>
      <c r="V88" s="83"/>
      <c r="W88" s="83"/>
      <c r="X88" s="83"/>
      <c r="Y88" s="83"/>
      <c r="Z88" s="83"/>
      <c r="AA88" s="83"/>
      <c r="AB88" s="153"/>
      <c r="AC88" s="82" t="str">
        <f>IF([14]回答表!F17="水道事業",IF([14]回答表!X45="●",[14]回答表!J173,IF([14]回答表!AA45="●",[14]回答表!J238,"")),"")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IF([14]回答表!F17="水道事業",IF([14]回答表!X45="●",[14]回答表!E212,IF([14]回答表!AA45="●",[14]回答表!E278,"")),"")</f>
        <v/>
      </c>
      <c r="BG89" s="151"/>
      <c r="BH89" s="151"/>
      <c r="BI89" s="151"/>
      <c r="BJ89" s="150" t="str">
        <f>IF([14]回答表!F17="水道事業",IF([14]回答表!X45="●",[14]回答表!E213,IF([14]回答表!AA45="●",[14]回答表!E279,"")),"")</f>
        <v/>
      </c>
      <c r="BK89" s="151"/>
      <c r="BL89" s="151"/>
      <c r="BM89" s="151"/>
      <c r="BN89" s="150" t="str">
        <f>IF([14]回答表!F17="水道事業",IF([14]回答表!X45="●",[14]回答表!E214,IF([14]回答表!AA45="●",[14]回答表!E280,"")),"")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IF([14]回答表!F17="水道事業",IF([14]回答表!AA45="●","●",""),"")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IF([14]回答表!F17="水道事業",IF([14]回答表!X45="●",[14]回答表!J176,IF([14]回答表!AA45="●",[14]回答表!J241,"")),"")</f>
        <v/>
      </c>
      <c r="V93" s="83"/>
      <c r="W93" s="83"/>
      <c r="X93" s="83"/>
      <c r="Y93" s="83"/>
      <c r="Z93" s="83"/>
      <c r="AA93" s="83"/>
      <c r="AB93" s="153"/>
      <c r="AC93" s="82" t="str">
        <f>IF([14]回答表!F17="水道事業",IF([14]回答表!X45="●",[14]回答表!J180,IF([14]回答表!AA45="●",[14]回答表!J245,"")),"")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IF([14]回答表!F17="水道事業",IF([14]回答表!AD45="○","○",""),"")</f>
        <v/>
      </c>
      <c r="O98" s="131"/>
      <c r="P98" s="131"/>
      <c r="Q98" s="132"/>
      <c r="R98" s="119"/>
      <c r="S98" s="119"/>
      <c r="T98" s="119"/>
      <c r="U98" s="133" t="str">
        <f>IF([14]回答表!F17="水道事業",IF([14]回答表!AD45="●",[14]回答表!B289,""),"")</f>
        <v/>
      </c>
      <c r="V98" s="134"/>
      <c r="W98" s="134"/>
      <c r="X98" s="134"/>
      <c r="Y98" s="134"/>
      <c r="Z98" s="134"/>
      <c r="AA98" s="134"/>
      <c r="AB98" s="134"/>
      <c r="AC98" s="134"/>
      <c r="AD98" s="134"/>
      <c r="AE98" s="134"/>
      <c r="AF98" s="134"/>
      <c r="AG98" s="134"/>
      <c r="AH98" s="134"/>
      <c r="AI98" s="134"/>
      <c r="AJ98" s="135"/>
      <c r="AK98" s="183"/>
      <c r="AL98" s="183"/>
      <c r="AM98" s="133" t="str">
        <f>IF([14]回答表!F17="水道事業",IF([14]回答表!AD45="●",[14]回答表!B295,""),"")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IF([14]回答表!F17="簡易水道事業",IF([14]回答表!X45="●",[14]回答表!B158,IF([14]回答表!AA45="●",[14]回答表!B223,"")),"")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IF([14]回答表!F17="簡易水道事業",IF([14]回答表!X45="●",[14]回答表!B212,IF([14]回答表!AA45="●",[14]回答表!B278,"")),"")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IF([14]回答表!F17="簡易水道事業",IF([14]回答表!X45="●","●",""),"")</f>
        <v/>
      </c>
      <c r="O112" s="131"/>
      <c r="P112" s="131"/>
      <c r="Q112" s="132"/>
      <c r="R112" s="119"/>
      <c r="S112" s="119"/>
      <c r="T112" s="119"/>
      <c r="U112" s="82" t="str">
        <f>IF([14]回答表!F17="簡易水道事業",IF([14]回答表!X45="●",[14]回答表!Y185,IF([14]回答表!AA45="●",[14]回答表!Y251,"")),"")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IF([14]回答表!F17="簡易水道事業",IF([14]回答表!X45="●",[14]回答表!E212,IF([14]回答表!AA45="●",[14]回答表!E278,"")),"")</f>
        <v/>
      </c>
      <c r="BG113" s="151"/>
      <c r="BH113" s="151"/>
      <c r="BI113" s="151"/>
      <c r="BJ113" s="150" t="str">
        <f>IF([14]回答表!F17="簡易水道事業",IF([14]回答表!X45="●",[14]回答表!E213,IF([14]回答表!AA45="●",[14]回答表!E279,"")),"")</f>
        <v/>
      </c>
      <c r="BK113" s="151"/>
      <c r="BL113" s="151"/>
      <c r="BM113" s="151"/>
      <c r="BN113" s="150" t="str">
        <f>IF([14]回答表!F17="簡易水道事業",IF([14]回答表!X45="●",[14]回答表!E214,IF([14]回答表!AA45="●",[14]回答表!E280,"")),"")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IF([14]回答表!F17="簡易水道事業",IF([14]回答表!X45="●",[14]回答表!Y186,IF([14]回答表!AA45="●",[14]回答表!Y252,"")),"")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IF([14]回答表!F17="簡易水道事業",IF([14]回答表!AA45="●","●",""),"")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IF([14]回答表!F17="簡易水道事業",IF([14]回答表!X45="●",[14]回答表!Y187,IF([14]回答表!AA45="●",[14]回答表!Y253,"")),"")</f>
        <v/>
      </c>
      <c r="V122" s="83"/>
      <c r="W122" s="83"/>
      <c r="X122" s="83"/>
      <c r="Y122" s="83"/>
      <c r="Z122" s="83"/>
      <c r="AA122" s="83"/>
      <c r="AB122" s="83"/>
      <c r="AC122" s="83"/>
      <c r="AD122" s="83"/>
      <c r="AE122" s="83"/>
      <c r="AF122" s="83"/>
      <c r="AG122" s="83"/>
      <c r="AH122" s="83"/>
      <c r="AI122" s="83"/>
      <c r="AJ122" s="153"/>
      <c r="AK122" s="68"/>
      <c r="AL122" s="68"/>
      <c r="AM122" s="233" t="str">
        <f>IF([14]回答表!F17="簡易水道事業",IF([14]回答表!X45="●",[14]回答表!Y189,IF([14]回答表!AA45="●",[14]回答表!Y255,"")),"")</f>
        <v/>
      </c>
      <c r="AN122" s="233"/>
      <c r="AO122" s="233"/>
      <c r="AP122" s="233"/>
      <c r="AQ122" s="233"/>
      <c r="AR122" s="233"/>
      <c r="AS122" s="233" t="str">
        <f>IF([14]回答表!F17="簡易水道事業",IF([14]回答表!X45="●",[14]回答表!Y190,IF([14]回答表!AA45="●",[14]回答表!Y256,"")),"")</f>
        <v/>
      </c>
      <c r="AT122" s="233"/>
      <c r="AU122" s="233"/>
      <c r="AV122" s="233"/>
      <c r="AW122" s="233"/>
      <c r="AX122" s="233"/>
      <c r="AY122" s="233" t="str">
        <f>IF([14]回答表!F17="簡易水道事業",IF([14]回答表!X45="●",[14]回答表!Y191,IF([14]回答表!AA45="●",[14]回答表!Y257,"")),"")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IF([14]回答表!F17="簡易水道事業",IF([14]回答表!AD45="●","●",""),"")</f>
        <v/>
      </c>
      <c r="O127" s="131"/>
      <c r="P127" s="131"/>
      <c r="Q127" s="132"/>
      <c r="R127" s="119"/>
      <c r="S127" s="119"/>
      <c r="T127" s="119"/>
      <c r="U127" s="133" t="str">
        <f>IF([14]回答表!F17="簡易水道事業",IF([14]回答表!AD45="●",[14]回答表!B289,""),"")</f>
        <v/>
      </c>
      <c r="V127" s="134"/>
      <c r="W127" s="134"/>
      <c r="X127" s="134"/>
      <c r="Y127" s="134"/>
      <c r="Z127" s="134"/>
      <c r="AA127" s="134"/>
      <c r="AB127" s="134"/>
      <c r="AC127" s="134"/>
      <c r="AD127" s="134"/>
      <c r="AE127" s="134"/>
      <c r="AF127" s="134"/>
      <c r="AG127" s="134"/>
      <c r="AH127" s="134"/>
      <c r="AI127" s="134"/>
      <c r="AJ127" s="135"/>
      <c r="AK127" s="183"/>
      <c r="AL127" s="183"/>
      <c r="AM127" s="133" t="str">
        <f>IF([14]回答表!F17="簡易水道事業",IF([14]回答表!AD45="●",[14]回答表!B295,""),"")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IF([14]回答表!F17="下水道事業",IF([14]回答表!X45="●","●",""),"")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IF([14]回答表!F17="下水道事業",IF([14]回答表!X45="●",[14]回答表!B158,IF([14]回答表!AA45="●",[14]回答表!B223,"")),"")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IF([14]回答表!F17="下水道事業",IF([14]回答表!X45="●",[14]回答表!B212,IF([14]回答表!AA45="●",[14]回答表!B278,"")),"")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IF([14]回答表!F17="下水道事業",IF([14]回答表!X45="●",[14]回答表!Y193,IF([14]回答表!AA45="●",[14]回答表!Y259,"")),"")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IF([14]回答表!F17="下水道事業",IF([14]回答表!X45="●",[14]回答表!E212,IF([14]回答表!AA45="●",[14]回答表!E278,"")),"")</f>
        <v/>
      </c>
      <c r="BG142" s="151"/>
      <c r="BH142" s="151"/>
      <c r="BI142" s="151"/>
      <c r="BJ142" s="150" t="str">
        <f>IF([14]回答表!F17="下水道事業",IF([14]回答表!X45="●",[14]回答表!E213,IF([14]回答表!AA45="●",[14]回答表!E279,"")),"")</f>
        <v/>
      </c>
      <c r="BK142" s="151"/>
      <c r="BL142" s="151"/>
      <c r="BM142" s="151"/>
      <c r="BN142" s="150" t="str">
        <f>IF([14]回答表!F17="下水道事業",IF([14]回答表!X45="●",[14]回答表!E214,IF([14]回答表!AA45="●",[14]回答表!E280,"")),"")</f>
        <v/>
      </c>
      <c r="BO142" s="151"/>
      <c r="BP142" s="151"/>
      <c r="BQ142" s="152"/>
      <c r="BR142" s="112"/>
      <c r="BX142" s="200" t="str">
        <f>IF([14]回答表!AQ20="下水道事業",IF([14]回答表!BI48="○",[14]回答表!AM161,IF([14]回答表!BL48="○",[14]回答表!AM226,"")),"")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IF([14]回答表!F17="下水道事業",IF([14]回答表!X45="●",[14]回答表!Y195,IF([14]回答表!AA45="●",[14]回答表!Y261,"")),"")</f>
        <v/>
      </c>
      <c r="V147" s="83"/>
      <c r="W147" s="83"/>
      <c r="X147" s="83"/>
      <c r="Y147" s="83"/>
      <c r="Z147" s="83"/>
      <c r="AA147" s="83"/>
      <c r="AB147" s="153"/>
      <c r="AC147" s="82" t="str">
        <f>IF([14]回答表!F17="下水道事業",IF([14]回答表!X45="●",[14]回答表!Y196,IF([14]回答表!AA45="●",[14]回答表!Y262,"")),"")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IF([14]回答表!F17="下水道事業",IF([14]回答表!X45="●",[14]回答表!Y198,IF([14]回答表!AA45="●",[14]回答表!Y264,"")),"")</f>
        <v/>
      </c>
      <c r="V153" s="83"/>
      <c r="W153" s="83"/>
      <c r="X153" s="83"/>
      <c r="Y153" s="83"/>
      <c r="Z153" s="83"/>
      <c r="AA153" s="83"/>
      <c r="AB153" s="153"/>
      <c r="AC153" s="82" t="str">
        <f>IF([14]回答表!F17="下水道事業",IF([14]回答表!X45="●",[14]回答表!Y199,IF([14]回答表!AA45="●",[14]回答表!Y265,"")),"")</f>
        <v/>
      </c>
      <c r="AD153" s="83"/>
      <c r="AE153" s="83"/>
      <c r="AF153" s="83"/>
      <c r="AG153" s="83"/>
      <c r="AH153" s="83"/>
      <c r="AI153" s="83"/>
      <c r="AJ153" s="153"/>
      <c r="AK153" s="82" t="str">
        <f>IF([14]回答表!F17="下水道事業",IF([14]回答表!X45="●",[14]回答表!Y200,IF([14]回答表!AA45="●",[14]回答表!Y266,"")),"")</f>
        <v/>
      </c>
      <c r="AL153" s="83"/>
      <c r="AM153" s="83"/>
      <c r="AN153" s="83"/>
      <c r="AO153" s="83"/>
      <c r="AP153" s="83"/>
      <c r="AQ153" s="83"/>
      <c r="AR153" s="153"/>
      <c r="AS153" s="82" t="str">
        <f>IF([14]回答表!F17="下水道事業",IF([14]回答表!X45="●",[14]回答表!Y201,IF([14]回答表!AA45="●",[14]回答表!Y267,"")),"")</f>
        <v/>
      </c>
      <c r="AT153" s="83"/>
      <c r="AU153" s="83"/>
      <c r="AV153" s="83"/>
      <c r="AW153" s="83"/>
      <c r="AX153" s="83"/>
      <c r="AY153" s="83"/>
      <c r="AZ153" s="153"/>
      <c r="BA153" s="82" t="str">
        <f>IF([14]回答表!F17="下水道事業",IF([14]回答表!X45="●",[14]回答表!Y202,IF([14]回答表!AA45="●",[14]回答表!Y268,"")),"")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IF([14]回答表!F17="下水道事業",IF([14]回答表!AA45="●","●",""),"")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IF([14]回答表!F17="下水道事業",IF([14]回答表!X45="●",[14]回答表!Y207,IF([14]回答表!AA45="●",[14]回答表!Y273,"")),"")</f>
        <v/>
      </c>
      <c r="V159" s="83"/>
      <c r="W159" s="83"/>
      <c r="X159" s="83"/>
      <c r="Y159" s="83"/>
      <c r="Z159" s="83"/>
      <c r="AA159" s="83"/>
      <c r="AB159" s="153"/>
      <c r="AC159" s="82" t="str">
        <f>IF([14]回答表!F17="下水道事業",IF([14]回答表!X45="●",[14]回答表!Y208,IF([14]回答表!AA45="●",[14]回答表!Y274,"")),"")</f>
        <v/>
      </c>
      <c r="AD159" s="83"/>
      <c r="AE159" s="83"/>
      <c r="AF159" s="83"/>
      <c r="AG159" s="83"/>
      <c r="AH159" s="83"/>
      <c r="AI159" s="83"/>
      <c r="AJ159" s="153"/>
      <c r="AK159" s="82" t="str">
        <f>IF([14]回答表!F17="下水道事業",IF([14]回答表!X45="●",[14]回答表!Y209,IF([14]回答表!AA45="●",[14]回答表!Y275,"")),"")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IF([14]回答表!F17="下水道事業",IF([14]回答表!AD45="●","●",""),"")</f>
        <v/>
      </c>
      <c r="O164" s="131"/>
      <c r="P164" s="131"/>
      <c r="Q164" s="132"/>
      <c r="R164" s="119"/>
      <c r="S164" s="119"/>
      <c r="T164" s="119"/>
      <c r="U164" s="133" t="str">
        <f>IF([14]回答表!F17="下水道事業",IF([14]回答表!AD45="●",[14]回答表!B289,""),"")</f>
        <v/>
      </c>
      <c r="V164" s="134"/>
      <c r="W164" s="134"/>
      <c r="X164" s="134"/>
      <c r="Y164" s="134"/>
      <c r="Z164" s="134"/>
      <c r="AA164" s="134"/>
      <c r="AB164" s="134"/>
      <c r="AC164" s="134"/>
      <c r="AD164" s="134"/>
      <c r="AE164" s="134"/>
      <c r="AF164" s="134"/>
      <c r="AG164" s="134"/>
      <c r="AH164" s="134"/>
      <c r="AI164" s="134"/>
      <c r="AJ164" s="135"/>
      <c r="AK164" s="183"/>
      <c r="AL164" s="183"/>
      <c r="AM164" s="133" t="str">
        <f>IF([14]回答表!F17="下水道事業",IF([14]回答表!AD45="●",[14]回答表!B295,""),"")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IF([14]回答表!BD17="●",IF([14]回答表!X45="●","●",""),"")</f>
        <v/>
      </c>
      <c r="O176" s="131"/>
      <c r="P176" s="131"/>
      <c r="Q176" s="132"/>
      <c r="R176" s="119"/>
      <c r="S176" s="119"/>
      <c r="T176" s="119"/>
      <c r="U176" s="133" t="str">
        <f>IF([14]回答表!BD17="●",IF([14]回答表!X45="●",[14]回答表!B158,IF([14]回答表!AA45="●",[14]回答表!B223,"")),"")</f>
        <v/>
      </c>
      <c r="V176" s="134"/>
      <c r="W176" s="134"/>
      <c r="X176" s="134"/>
      <c r="Y176" s="134"/>
      <c r="Z176" s="134"/>
      <c r="AA176" s="134"/>
      <c r="AB176" s="134"/>
      <c r="AC176" s="134"/>
      <c r="AD176" s="134"/>
      <c r="AE176" s="134"/>
      <c r="AF176" s="134"/>
      <c r="AG176" s="134"/>
      <c r="AH176" s="134"/>
      <c r="AI176" s="134"/>
      <c r="AJ176" s="135"/>
      <c r="AK176" s="136"/>
      <c r="AL176" s="136"/>
      <c r="AM176" s="138" t="str">
        <f>IF([14]回答表!BD17="●",IF([14]回答表!X45="●",[14]回答表!B212,IF([14]回答表!AA45="●",[14]回答表!B278,"")),"")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IF([14]回答表!BD17="●",IF([14]回答表!X45="●",[14]回答表!E212,IF([14]回答表!AA45="●",[14]回答表!E278,"")),"")</f>
        <v/>
      </c>
      <c r="AN179" s="151"/>
      <c r="AO179" s="151"/>
      <c r="AP179" s="151"/>
      <c r="AQ179" s="150" t="str">
        <f>IF([14]回答表!BD17="●",IF([14]回答表!X45="●",[14]回答表!E213,IF([14]回答表!AA45="●",[14]回答表!E279,"")),"")</f>
        <v/>
      </c>
      <c r="AR179" s="151"/>
      <c r="AS179" s="151"/>
      <c r="AT179" s="151"/>
      <c r="AU179" s="150" t="str">
        <f>IF([14]回答表!BD17="●",IF([14]回答表!X45="●",[14]回答表!E214,IF([14]回答表!AA45="●",[14]回答表!E280,"")),"")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IF([14]回答表!BD17="●",IF([14]回答表!AA45="●","●",""),"")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IF([14]回答表!BD17="●",IF([14]回答表!AD45="●","●",""),"")</f>
        <v/>
      </c>
      <c r="O188" s="131"/>
      <c r="P188" s="131"/>
      <c r="Q188" s="132"/>
      <c r="R188" s="119"/>
      <c r="S188" s="119"/>
      <c r="T188" s="119"/>
      <c r="U188" s="133" t="str">
        <f>IF([14]回答表!BD17="●",IF([14]回答表!AD45="●",[14]回答表!B289,""),"")</f>
        <v/>
      </c>
      <c r="V188" s="134"/>
      <c r="W188" s="134"/>
      <c r="X188" s="134"/>
      <c r="Y188" s="134"/>
      <c r="Z188" s="134"/>
      <c r="AA188" s="134"/>
      <c r="AB188" s="134"/>
      <c r="AC188" s="134"/>
      <c r="AD188" s="134"/>
      <c r="AE188" s="134"/>
      <c r="AF188" s="134"/>
      <c r="AG188" s="134"/>
      <c r="AH188" s="134"/>
      <c r="AI188" s="134"/>
      <c r="AJ188" s="135"/>
      <c r="AK188" s="183"/>
      <c r="AL188" s="183"/>
      <c r="AM188" s="133" t="str">
        <f>IF([14]回答表!BD17="●",IF([14]回答表!AD45="●",[14]回答表!B295,""),"")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IF([14]回答表!X46="●","●","")</f>
        <v/>
      </c>
      <c r="O200" s="131"/>
      <c r="P200" s="131"/>
      <c r="Q200" s="132"/>
      <c r="R200" s="119"/>
      <c r="S200" s="119"/>
      <c r="T200" s="119"/>
      <c r="U200" s="133" t="str">
        <f>IF([14]回答表!X46="●",[14]回答表!B307,IF([14]回答表!AA46="●",[14]回答表!B324,""))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IF([14]回答表!X46="●",[14]回答表!U313,IF([14]回答表!AA46="●",[14]回答表!U330,""))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IF([14]回答表!X46="●",[14]回答表!G313,IF([14]回答表!AA46="●",[14]回答表!G330,""))</f>
        <v/>
      </c>
      <c r="AN203" s="83"/>
      <c r="AO203" s="83"/>
      <c r="AP203" s="83"/>
      <c r="AQ203" s="83"/>
      <c r="AR203" s="83"/>
      <c r="AS203" s="83"/>
      <c r="AT203" s="153"/>
      <c r="AU203" s="82" t="str">
        <f>IF([14]回答表!X46="●",[14]回答表!G314,IF([14]回答表!AA46="●",[14]回答表!G331,""))</f>
        <v/>
      </c>
      <c r="AV203" s="83"/>
      <c r="AW203" s="83"/>
      <c r="AX203" s="83"/>
      <c r="AY203" s="83"/>
      <c r="AZ203" s="83"/>
      <c r="BA203" s="83"/>
      <c r="BB203" s="153"/>
      <c r="BC203" s="120"/>
      <c r="BD203" s="109"/>
      <c r="BE203" s="109"/>
      <c r="BF203" s="150" t="str">
        <f>IF([14]回答表!X46="●",[14]回答表!X313,IF([14]回答表!AA46="●",[14]回答表!X330,""))</f>
        <v/>
      </c>
      <c r="BG203" s="151"/>
      <c r="BH203" s="151"/>
      <c r="BI203" s="151"/>
      <c r="BJ203" s="150" t="str">
        <f>IF([14]回答表!X46="●",[14]回答表!X314,IF([14]回答表!AA46="●",[14]回答表!X331,""))</f>
        <v/>
      </c>
      <c r="BK203" s="151"/>
      <c r="BL203" s="151"/>
      <c r="BM203" s="152"/>
      <c r="BN203" s="150" t="str">
        <f>IF([14]回答表!X46="●",[14]回答表!X315,IF([14]回答表!AA46="●",[14]回答表!X332,""))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IF([14]回答表!AD46="●","●","")</f>
        <v/>
      </c>
      <c r="O212" s="131"/>
      <c r="P212" s="131"/>
      <c r="Q212" s="132"/>
      <c r="R212" s="119"/>
      <c r="S212" s="119"/>
      <c r="T212" s="119"/>
      <c r="U212" s="133" t="str">
        <f>IF([14]回答表!AD46="●",[14]回答表!B337,"")</f>
        <v/>
      </c>
      <c r="V212" s="134"/>
      <c r="W212" s="134"/>
      <c r="X212" s="134"/>
      <c r="Y212" s="134"/>
      <c r="Z212" s="134"/>
      <c r="AA212" s="134"/>
      <c r="AB212" s="134"/>
      <c r="AC212" s="134"/>
      <c r="AD212" s="134"/>
      <c r="AE212" s="134"/>
      <c r="AF212" s="134"/>
      <c r="AG212" s="134"/>
      <c r="AH212" s="134"/>
      <c r="AI212" s="134"/>
      <c r="AJ212" s="135"/>
      <c r="AK212" s="259"/>
      <c r="AL212" s="259"/>
      <c r="AM212" s="133" t="str">
        <f>IF([14]回答表!AD46="●",[14]回答表!B343,"")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IF([14]回答表!X47="●","●","")</f>
        <v/>
      </c>
      <c r="O224" s="131"/>
      <c r="P224" s="131"/>
      <c r="Q224" s="132"/>
      <c r="R224" s="119"/>
      <c r="S224" s="119"/>
      <c r="T224" s="119"/>
      <c r="U224" s="133" t="str">
        <f>IF([14]回答表!X47="●",[14]回答表!B356,IF([14]回答表!AA47="●",[14]回答表!B379,""))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IF([14]回答表!X47="●",[14]回答表!B362,"")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IF([14]回答表!X47="●",[14]回答表!B368,IF([14]回答表!AA47="●",[14]回答表!B385,""))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IF([14]回答表!X47="●",[14]回答表!E368,IF([14]回答表!AA47="●",[14]回答表!E385,""))</f>
        <v/>
      </c>
      <c r="BG227" s="151"/>
      <c r="BH227" s="151"/>
      <c r="BI227" s="151"/>
      <c r="BJ227" s="150" t="str">
        <f>IF([14]回答表!X47="●",[14]回答表!E369,IF([14]回答表!AA47="●",[14]回答表!E386,""))</f>
        <v/>
      </c>
      <c r="BK227" s="151"/>
      <c r="BL227" s="151"/>
      <c r="BM227" s="152"/>
      <c r="BN227" s="150" t="str">
        <f>IF([14]回答表!X47="●",[14]回答表!E370,IF([14]回答表!AA47="●",[14]回答表!E387,""))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IF([14]回答表!AD47="●","●","")</f>
        <v/>
      </c>
      <c r="O236" s="131"/>
      <c r="P236" s="131"/>
      <c r="Q236" s="132"/>
      <c r="R236" s="119"/>
      <c r="S236" s="119"/>
      <c r="T236" s="119"/>
      <c r="U236" s="133" t="str">
        <f>IF([14]回答表!AD47="●",[14]回答表!B392,"")</f>
        <v/>
      </c>
      <c r="V236" s="134"/>
      <c r="W236" s="134"/>
      <c r="X236" s="134"/>
      <c r="Y236" s="134"/>
      <c r="Z236" s="134"/>
      <c r="AA236" s="134"/>
      <c r="AB236" s="134"/>
      <c r="AC236" s="134"/>
      <c r="AD236" s="134"/>
      <c r="AE236" s="134"/>
      <c r="AF236" s="134"/>
      <c r="AG236" s="134"/>
      <c r="AH236" s="134"/>
      <c r="AI236" s="134"/>
      <c r="AJ236" s="135"/>
      <c r="AK236" s="259"/>
      <c r="AL236" s="259"/>
      <c r="AM236" s="133" t="str">
        <f>IF([14]回答表!AD47="●",[14]回答表!B398,"")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IF([14]回答表!X48="●","●","")</f>
        <v/>
      </c>
      <c r="O248" s="131"/>
      <c r="P248" s="131"/>
      <c r="Q248" s="132"/>
      <c r="R248" s="119"/>
      <c r="S248" s="119"/>
      <c r="T248" s="119"/>
      <c r="U248" s="133" t="str">
        <f>IF([14]回答表!X48="●",[14]回答表!B411,IF([14]回答表!AA48="●",[14]回答表!B425,""))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IF([14]回答表!X48="●",[14]回答表!BC418,IF([14]回答表!AA48="●",[14]回答表!BC432,""))</f>
        <v/>
      </c>
      <c r="AR248" s="272"/>
      <c r="AS248" s="272"/>
      <c r="AT248" s="272"/>
      <c r="AU248" s="273" t="s">
        <v>73</v>
      </c>
      <c r="AV248" s="274"/>
      <c r="AW248" s="274"/>
      <c r="AX248" s="275"/>
      <c r="AY248" s="272" t="str">
        <f>IF([14]回答表!X48="●",[14]回答表!BC423,IF([14]回答表!AA48="●",[14]回答表!BC437,""))</f>
        <v/>
      </c>
      <c r="AZ248" s="272"/>
      <c r="BA248" s="272"/>
      <c r="BB248" s="272"/>
      <c r="BC248" s="120"/>
      <c r="BD248" s="109"/>
      <c r="BE248" s="109"/>
      <c r="BF248" s="138" t="str">
        <f>IF([14]回答表!X48="●",[14]回答表!S417,IF([14]回答表!AA48="●",[14]回答表!S431,""))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IF([14]回答表!X48="●",[14]回答表!BC419,IF([14]回答表!AA48="●",[14]回答表!BC433,""))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IF([14]回答表!X48="●",[14]回答表!V417,IF([14]回答表!AA48="●",[14]回答表!V431,""))</f>
        <v/>
      </c>
      <c r="BG251" s="151"/>
      <c r="BH251" s="151"/>
      <c r="BI251" s="151"/>
      <c r="BJ251" s="150" t="str">
        <f>IF([14]回答表!X48="●",[14]回答表!V418,IF([14]回答表!AA48="●",[14]回答表!V432,""))</f>
        <v/>
      </c>
      <c r="BK251" s="151"/>
      <c r="BL251" s="151"/>
      <c r="BM251" s="152"/>
      <c r="BN251" s="150" t="str">
        <f>IF([14]回答表!X48="●",[14]回答表!V419,IF([14]回答表!AA48="●",[14]回答表!V433,""))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IF([14]回答表!X48="●",[14]回答表!BC420,IF([14]回答表!AA48="●",[14]回答表!BC434,""))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IF([14]回答表!X48="●",[14]回答表!BC424,IF([14]回答表!AA48="●",[14]回答表!BC438,""))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IF([14]回答表!X48="●",[14]回答表!BC421,IF([14]回答表!AA48="●",[14]回答表!BC435,""))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IF([14]回答表!X48="●",[14]回答表!BC422,IF([14]回答表!AA48="●",[14]回答表!BC436,""))</f>
        <v/>
      </c>
      <c r="AR256" s="272"/>
      <c r="AS256" s="272"/>
      <c r="AT256" s="272"/>
      <c r="AU256" s="224" t="s">
        <v>79</v>
      </c>
      <c r="AV256" s="225"/>
      <c r="AW256" s="225"/>
      <c r="AX256" s="226"/>
      <c r="AY256" s="282" t="str">
        <f>IF([14]回答表!X48="●",[14]回答表!BC425,IF([14]回答表!AA48="●",[14]回答表!BC439,""))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IF([14]回答表!AD48="●","●","")</f>
        <v/>
      </c>
      <c r="O260" s="131"/>
      <c r="P260" s="131"/>
      <c r="Q260" s="132"/>
      <c r="R260" s="119"/>
      <c r="S260" s="119"/>
      <c r="T260" s="119"/>
      <c r="U260" s="133" t="str">
        <f>IF([14]回答表!AD48="●",[14]回答表!B439,"")</f>
        <v/>
      </c>
      <c r="V260" s="134"/>
      <c r="W260" s="134"/>
      <c r="X260" s="134"/>
      <c r="Y260" s="134"/>
      <c r="Z260" s="134"/>
      <c r="AA260" s="134"/>
      <c r="AB260" s="134"/>
      <c r="AC260" s="134"/>
      <c r="AD260" s="134"/>
      <c r="AE260" s="134"/>
      <c r="AF260" s="134"/>
      <c r="AG260" s="134"/>
      <c r="AH260" s="134"/>
      <c r="AI260" s="134"/>
      <c r="AJ260" s="135"/>
      <c r="AK260" s="183"/>
      <c r="AL260" s="183"/>
      <c r="AM260" s="133" t="str">
        <f>IF([14]回答表!AD48="●",[14]回答表!B445,"")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IF([14]回答表!X49="●","●","")</f>
        <v/>
      </c>
      <c r="O271" s="131"/>
      <c r="P271" s="131"/>
      <c r="Q271" s="132"/>
      <c r="R271" s="119"/>
      <c r="S271" s="119"/>
      <c r="T271" s="119"/>
      <c r="U271" s="133" t="str">
        <f>IF([14]回答表!X49="●",[14]回答表!B458,IF([14]回答表!AA49="●",[14]回答表!B475,""))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IF([14]回答表!X49="●",[14]回答表!B468,IF([14]回答表!AA49="●",[14]回答表!B485,""))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IF([14]回答表!X49="●",[14]回答表!G464,IF([14]回答表!AA49="●",[14]回答表!G481,""))</f>
        <v/>
      </c>
      <c r="AN273" s="83"/>
      <c r="AO273" s="83"/>
      <c r="AP273" s="83"/>
      <c r="AQ273" s="83"/>
      <c r="AR273" s="83"/>
      <c r="AS273" s="83"/>
      <c r="AT273" s="153"/>
      <c r="AU273" s="82" t="str">
        <f>IF([14]回答表!X49="●",[14]回答表!G465,IF([14]回答表!AA49="●",[14]回答表!G482,""))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IF([14]回答表!X49="●",[14]回答表!E468,IF([14]回答表!AA49="●",[14]回答表!E485,""))</f>
        <v/>
      </c>
      <c r="BG274" s="151"/>
      <c r="BH274" s="151"/>
      <c r="BI274" s="151"/>
      <c r="BJ274" s="150" t="str">
        <f>IF([14]回答表!X49="●",[14]回答表!E469,IF([14]回答表!AA49="●",[14]回答表!E486,""))</f>
        <v/>
      </c>
      <c r="BK274" s="151"/>
      <c r="BL274" s="151"/>
      <c r="BM274" s="152"/>
      <c r="BN274" s="150" t="str">
        <f>IF([14]回答表!X49="●",[14]回答表!E470,IF([14]回答表!AA49="●",[14]回答表!E487,""))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IF([14]回答表!AD49="●","●","")</f>
        <v/>
      </c>
      <c r="O283" s="131"/>
      <c r="P283" s="131"/>
      <c r="Q283" s="132"/>
      <c r="R283" s="119"/>
      <c r="S283" s="119"/>
      <c r="T283" s="119"/>
      <c r="U283" s="133" t="str">
        <f>IF([14]回答表!AD49="●",[14]回答表!B492,"")</f>
        <v/>
      </c>
      <c r="V283" s="134"/>
      <c r="W283" s="134"/>
      <c r="X283" s="134"/>
      <c r="Y283" s="134"/>
      <c r="Z283" s="134"/>
      <c r="AA283" s="134"/>
      <c r="AB283" s="134"/>
      <c r="AC283" s="134"/>
      <c r="AD283" s="134"/>
      <c r="AE283" s="134"/>
      <c r="AF283" s="134"/>
      <c r="AG283" s="134"/>
      <c r="AH283" s="134"/>
      <c r="AI283" s="134"/>
      <c r="AJ283" s="135"/>
      <c r="AK283" s="136"/>
      <c r="AL283" s="136"/>
      <c r="AM283" s="133" t="str">
        <f>IF([14]回答表!AD49="●",[14]回答表!B498,"")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IF([14]回答表!R50="●",[14]回答表!B511,"")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2F01-69C8-4860-A009-DB01359D2529}">
  <sheetPr>
    <pageSetUpPr fitToPage="1"/>
  </sheetPr>
  <dimension ref="A1:CN315"/>
  <sheetViews>
    <sheetView showZeros="0" view="pageBreakPreview" zoomScale="60" zoomScaleNormal="55" workbookViewId="0">
      <selection activeCell="D51" sqref="D51:M54"/>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IF(COUNTIF([15]回答表!K15,"*")&gt;0,[15]回答表!K15,"")</f>
        <v>大仙市</v>
      </c>
      <c r="D11" s="8"/>
      <c r="E11" s="8"/>
      <c r="F11" s="8"/>
      <c r="G11" s="8"/>
      <c r="H11" s="8"/>
      <c r="I11" s="8"/>
      <c r="J11" s="8"/>
      <c r="K11" s="8"/>
      <c r="L11" s="8"/>
      <c r="M11" s="8"/>
      <c r="N11" s="8"/>
      <c r="O11" s="8"/>
      <c r="P11" s="8"/>
      <c r="Q11" s="8"/>
      <c r="R11" s="8"/>
      <c r="S11" s="8"/>
      <c r="T11" s="8"/>
      <c r="U11" s="22" t="str">
        <f>IF(COUNTIF([15]回答表!F17,"*")&gt;0,[15]回答表!F17,"")</f>
        <v>介護サービス事業</v>
      </c>
      <c r="V11" s="23"/>
      <c r="W11" s="23"/>
      <c r="X11" s="23"/>
      <c r="Y11" s="23"/>
      <c r="Z11" s="23"/>
      <c r="AA11" s="23"/>
      <c r="AB11" s="23"/>
      <c r="AC11" s="23"/>
      <c r="AD11" s="23"/>
      <c r="AE11" s="23"/>
      <c r="AF11" s="10"/>
      <c r="AG11" s="10"/>
      <c r="AH11" s="10"/>
      <c r="AI11" s="10"/>
      <c r="AJ11" s="10"/>
      <c r="AK11" s="10"/>
      <c r="AL11" s="10"/>
      <c r="AM11" s="10"/>
      <c r="AN11" s="11"/>
      <c r="AO11" s="24" t="str">
        <f>IF(COUNTIF([15]回答表!W17,"*")&gt;0,[15]回答表!W17,"")</f>
        <v>老人デイサービスセンター</v>
      </c>
      <c r="AP11" s="10"/>
      <c r="AQ11" s="10"/>
      <c r="AR11" s="10"/>
      <c r="AS11" s="10"/>
      <c r="AT11" s="10"/>
      <c r="AU11" s="10"/>
      <c r="AV11" s="10"/>
      <c r="AW11" s="10"/>
      <c r="AX11" s="10"/>
      <c r="AY11" s="10"/>
      <c r="AZ11" s="10"/>
      <c r="BA11" s="10"/>
      <c r="BB11" s="10"/>
      <c r="BC11" s="10"/>
      <c r="BD11" s="10"/>
      <c r="BE11" s="10"/>
      <c r="BF11" s="11"/>
      <c r="BG11" s="21" t="str">
        <f>IF(COUNTIF([15]回答表!F19,"*")&gt;0,[15]回答表!F19,"")</f>
        <v>老人デイサービス事業特別会計</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IF([15]回答表!R43="●","●","")</f>
        <v>●</v>
      </c>
      <c r="E24" s="80"/>
      <c r="F24" s="80"/>
      <c r="G24" s="80"/>
      <c r="H24" s="80"/>
      <c r="I24" s="80"/>
      <c r="J24" s="81"/>
      <c r="K24" s="79" t="str">
        <f>IF([15]回答表!R44="●","●","")</f>
        <v>●</v>
      </c>
      <c r="L24" s="80"/>
      <c r="M24" s="80"/>
      <c r="N24" s="80"/>
      <c r="O24" s="80"/>
      <c r="P24" s="80"/>
      <c r="Q24" s="81"/>
      <c r="R24" s="79" t="str">
        <f>IF([15]回答表!R45="●","●","")</f>
        <v/>
      </c>
      <c r="S24" s="80"/>
      <c r="T24" s="80"/>
      <c r="U24" s="80"/>
      <c r="V24" s="80"/>
      <c r="W24" s="80"/>
      <c r="X24" s="81"/>
      <c r="Y24" s="79" t="str">
        <f>IF([15]回答表!R46="●","●","")</f>
        <v/>
      </c>
      <c r="Z24" s="80"/>
      <c r="AA24" s="80"/>
      <c r="AB24" s="80"/>
      <c r="AC24" s="80"/>
      <c r="AD24" s="80"/>
      <c r="AE24" s="81"/>
      <c r="AF24" s="79" t="str">
        <f>IF([15]回答表!R47="●","●","")</f>
        <v/>
      </c>
      <c r="AG24" s="80"/>
      <c r="AH24" s="80"/>
      <c r="AI24" s="80"/>
      <c r="AJ24" s="80"/>
      <c r="AK24" s="80"/>
      <c r="AL24" s="81"/>
      <c r="AM24" s="79" t="str">
        <f>IF([15]回答表!R48="●","●","")</f>
        <v/>
      </c>
      <c r="AN24" s="80"/>
      <c r="AO24" s="80"/>
      <c r="AP24" s="80"/>
      <c r="AQ24" s="80"/>
      <c r="AR24" s="80"/>
      <c r="AS24" s="81"/>
      <c r="AT24" s="79" t="str">
        <f>IF([15]回答表!R49="●","●","")</f>
        <v/>
      </c>
      <c r="AU24" s="80"/>
      <c r="AV24" s="80"/>
      <c r="AW24" s="80"/>
      <c r="AX24" s="80"/>
      <c r="AY24" s="80"/>
      <c r="AZ24" s="81"/>
      <c r="BA24" s="68"/>
      <c r="BB24" s="82" t="str">
        <f>IF([15]回答表!R50="●","●","")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IF([15]回答表!X43="●","●","")</f>
        <v>●</v>
      </c>
      <c r="O36" s="131"/>
      <c r="P36" s="131"/>
      <c r="Q36" s="132"/>
      <c r="R36" s="119"/>
      <c r="S36" s="119"/>
      <c r="T36" s="119"/>
      <c r="U36" s="133" t="str">
        <f>IF([15]回答表!X43="●",[15]回答表!B59,IF([15]回答表!AA43="●",[15]回答表!B79,""))</f>
        <v>民営化した介護老人福祉施設の立て替えに伴い、通所介護サービスが併設されたことから事業を廃止した。（管理運営費5,569千円の減）</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IF([15]回答表!X43="●",[15]回答表!S65,IF([15]回答表!AA43="●",[15]回答表!S85,""))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IF([15]回答表!X43="●",[15]回答表!G65,IF([15]回答表!AA43="●",[15]回答表!G85,""))</f>
        <v>●</v>
      </c>
      <c r="AN38" s="83"/>
      <c r="AO38" s="83"/>
      <c r="AP38" s="83"/>
      <c r="AQ38" s="83"/>
      <c r="AR38" s="83"/>
      <c r="AS38" s="83"/>
      <c r="AT38" s="153"/>
      <c r="AU38" s="82" t="str">
        <f>IF([15]回答表!X43="●",[15]回答表!G66,IF([15]回答表!AA43="●",[15]回答表!G86,""))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f>IF([15]回答表!X43="●",[15]回答表!V65,IF([15]回答表!AA43="●",[15]回答表!V85,""))</f>
        <v>28</v>
      </c>
      <c r="BG39" s="16"/>
      <c r="BH39" s="16"/>
      <c r="BI39" s="17"/>
      <c r="BJ39" s="150">
        <f>IF([15]回答表!X43="●",[15]回答表!V66,IF([15]回答表!AA43="●",[15]回答表!V86,""))</f>
        <v>4</v>
      </c>
      <c r="BK39" s="16"/>
      <c r="BL39" s="16"/>
      <c r="BM39" s="17"/>
      <c r="BN39" s="150">
        <f>IF([15]回答表!X43="●",[15]回答表!V67,IF([15]回答表!AA43="●",[15]回答表!V87,""))</f>
        <v>1</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IF([15]回答表!X43="●",[15]回答表!O71,IF([15]回答表!AA43="●",[15]回答表!O91,""))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IF([15]回答表!X43="●",[15]回答表!O72,IF([15]回答表!AA43="●",[15]回答表!O92,""))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IF([15]回答表!X43="●",[15]回答表!O73,IF([15]回答表!AA43="●",[15]回答表!O93,""))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IF([15]回答表!X43="●",[15]回答表!O74,IF([15]回答表!AA43="●",[15]回答表!O94,""))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IF([15]回答表!X43="●",[15]回答表!AG71,IF([15]回答表!AA43="●",[15]回答表!AG91,""))</f>
        <v xml:space="preserve">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IF([15]回答表!X43="●",[15]回答表!AG72,IF([15]回答表!AA43="●",[15]回答表!AG92,""))</f>
        <v>●</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IF([15]回答表!AD43="●","●","")</f>
        <v/>
      </c>
      <c r="O51" s="131"/>
      <c r="P51" s="131"/>
      <c r="Q51" s="132"/>
      <c r="R51" s="119"/>
      <c r="S51" s="119"/>
      <c r="T51" s="119"/>
      <c r="U51" s="133" t="str">
        <f>IF([15]回答表!AD43="●",[15]回答表!B99,"")</f>
        <v/>
      </c>
      <c r="V51" s="134"/>
      <c r="W51" s="134"/>
      <c r="X51" s="134"/>
      <c r="Y51" s="134"/>
      <c r="Z51" s="134"/>
      <c r="AA51" s="134"/>
      <c r="AB51" s="134"/>
      <c r="AC51" s="134"/>
      <c r="AD51" s="134"/>
      <c r="AE51" s="134"/>
      <c r="AF51" s="134"/>
      <c r="AG51" s="134"/>
      <c r="AH51" s="134"/>
      <c r="AI51" s="134"/>
      <c r="AJ51" s="135"/>
      <c r="AK51" s="183"/>
      <c r="AL51" s="183"/>
      <c r="AM51" s="133" t="str">
        <f>IF([15]回答表!AD43="●",[15]回答表!B104,"")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IF([15]回答表!X44="●","●","")</f>
        <v>●</v>
      </c>
      <c r="O62" s="131"/>
      <c r="P62" s="131"/>
      <c r="Q62" s="132"/>
      <c r="R62" s="119"/>
      <c r="S62" s="119"/>
      <c r="T62" s="119"/>
      <c r="U62" s="133" t="str">
        <f>IF([15]回答表!X44="●",[15]回答表!B115,IF([15]回答表!AA44="●",[15]回答表!B127,""))</f>
        <v>管理運営費5,569千円の減</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IF([15]回答表!X44="●",[15]回答表!S121,IF([15]回答表!AA44="●",[15]回答表!S133,""))</f>
        <v>平成</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IF([15]回答表!X44="●",[15]回答表!J121,IF([15]回答表!AA44="●",[15]回答表!J133,""))</f>
        <v>●</v>
      </c>
      <c r="AN65" s="83"/>
      <c r="AO65" s="83"/>
      <c r="AP65" s="83"/>
      <c r="AQ65" s="83"/>
      <c r="AR65" s="83"/>
      <c r="AS65" s="83"/>
      <c r="AT65" s="153"/>
      <c r="AU65" s="82" t="str">
        <f>IF([15]回答表!X44="●",[15]回答表!J122,IF([15]回答表!AA44="●",[15]回答表!J134,""))</f>
        <v xml:space="preserve"> </v>
      </c>
      <c r="AV65" s="83"/>
      <c r="AW65" s="83"/>
      <c r="AX65" s="83"/>
      <c r="AY65" s="83"/>
      <c r="AZ65" s="83"/>
      <c r="BA65" s="83"/>
      <c r="BB65" s="153"/>
      <c r="BC65" s="120"/>
      <c r="BD65" s="109"/>
      <c r="BE65" s="109"/>
      <c r="BF65" s="150">
        <f>IF([15]回答表!X44="●",[15]回答表!V121,IF([15]回答表!AA44="●",[15]回答表!V133,""))</f>
        <v>28</v>
      </c>
      <c r="BG65" s="151"/>
      <c r="BH65" s="151"/>
      <c r="BI65" s="151"/>
      <c r="BJ65" s="150">
        <f>IF([15]回答表!X44="●",[15]回答表!V122,IF([15]回答表!AA44="●",[15]回答表!V134,""))</f>
        <v>4</v>
      </c>
      <c r="BK65" s="151"/>
      <c r="BL65" s="151"/>
      <c r="BM65" s="151"/>
      <c r="BN65" s="150">
        <f>IF([15]回答表!X44="●",[15]回答表!V123,IF([15]回答表!AA44="●",[15]回答表!V135,""))</f>
        <v>1</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IF([15]回答表!AD44="●","●","")</f>
        <v/>
      </c>
      <c r="O74" s="131"/>
      <c r="P74" s="131"/>
      <c r="Q74" s="132"/>
      <c r="R74" s="119"/>
      <c r="S74" s="119"/>
      <c r="T74" s="119"/>
      <c r="U74" s="133" t="str">
        <f>IF([15]回答表!AD44="●",[15]回答表!B140,"")</f>
        <v/>
      </c>
      <c r="V74" s="134"/>
      <c r="W74" s="134"/>
      <c r="X74" s="134"/>
      <c r="Y74" s="134"/>
      <c r="Z74" s="134"/>
      <c r="AA74" s="134"/>
      <c r="AB74" s="134"/>
      <c r="AC74" s="134"/>
      <c r="AD74" s="134"/>
      <c r="AE74" s="134"/>
      <c r="AF74" s="134"/>
      <c r="AG74" s="134"/>
      <c r="AH74" s="134"/>
      <c r="AI74" s="134"/>
      <c r="AJ74" s="135"/>
      <c r="AK74" s="183"/>
      <c r="AL74" s="183"/>
      <c r="AM74" s="133" t="str">
        <f>IF([15]回答表!AD44="●",[15]回答表!B146,"")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IF([15]回答表!F17="水道事業",IF([15]回答表!X45="●","●",""),"")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IF([15]回答表!F17="水道事業",IF([15]回答表!X45="●",[15]回答表!B158,IF([15]回答表!AA45="●",[15]回答表!B223,"")),"")</f>
        <v/>
      </c>
      <c r="AN86" s="201"/>
      <c r="AO86" s="201"/>
      <c r="AP86" s="201"/>
      <c r="AQ86" s="201"/>
      <c r="AR86" s="201"/>
      <c r="AS86" s="201"/>
      <c r="AT86" s="201"/>
      <c r="AU86" s="201"/>
      <c r="AV86" s="201"/>
      <c r="AW86" s="201"/>
      <c r="AX86" s="201"/>
      <c r="AY86" s="201"/>
      <c r="AZ86" s="201"/>
      <c r="BA86" s="201"/>
      <c r="BB86" s="201"/>
      <c r="BC86" s="202"/>
      <c r="BD86" s="109"/>
      <c r="BE86" s="109"/>
      <c r="BF86" s="138" t="str">
        <f>IF([15]回答表!F17="水道事業",IF([15]回答表!X45="●",[15]回答表!B212,IF([15]回答表!AA45="●",[15]回答表!B278,"")),"")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IF([15]回答表!F17="水道事業",IF([15]回答表!X45="●",[15]回答表!J166,IF([15]回答表!AA45="●",[15]回答表!J231,"")),"")</f>
        <v/>
      </c>
      <c r="V88" s="83"/>
      <c r="W88" s="83"/>
      <c r="X88" s="83"/>
      <c r="Y88" s="83"/>
      <c r="Z88" s="83"/>
      <c r="AA88" s="83"/>
      <c r="AB88" s="153"/>
      <c r="AC88" s="82" t="str">
        <f>IF([15]回答表!F17="水道事業",IF([15]回答表!X45="●",[15]回答表!J173,IF([15]回答表!AA45="●",[15]回答表!J238,"")),"")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IF([15]回答表!F17="水道事業",IF([15]回答表!X45="●",[15]回答表!E212,IF([15]回答表!AA45="●",[15]回答表!E278,"")),"")</f>
        <v/>
      </c>
      <c r="BG89" s="151"/>
      <c r="BH89" s="151"/>
      <c r="BI89" s="151"/>
      <c r="BJ89" s="150" t="str">
        <f>IF([15]回答表!F17="水道事業",IF([15]回答表!X45="●",[15]回答表!E213,IF([15]回答表!AA45="●",[15]回答表!E279,"")),"")</f>
        <v/>
      </c>
      <c r="BK89" s="151"/>
      <c r="BL89" s="151"/>
      <c r="BM89" s="151"/>
      <c r="BN89" s="150" t="str">
        <f>IF([15]回答表!F17="水道事業",IF([15]回答表!X45="●",[15]回答表!E214,IF([15]回答表!AA45="●",[15]回答表!E280,"")),"")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IF([15]回答表!F17="水道事業",IF([15]回答表!AA45="●","●",""),"")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IF([15]回答表!F17="水道事業",IF([15]回答表!X45="●",[15]回答表!J176,IF([15]回答表!AA45="●",[15]回答表!J241,"")),"")</f>
        <v/>
      </c>
      <c r="V93" s="83"/>
      <c r="W93" s="83"/>
      <c r="X93" s="83"/>
      <c r="Y93" s="83"/>
      <c r="Z93" s="83"/>
      <c r="AA93" s="83"/>
      <c r="AB93" s="153"/>
      <c r="AC93" s="82" t="str">
        <f>IF([15]回答表!F17="水道事業",IF([15]回答表!X45="●",[15]回答表!J180,IF([15]回答表!AA45="●",[15]回答表!J245,"")),"")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IF([15]回答表!F17="水道事業",IF([15]回答表!AD45="○","○",""),"")</f>
        <v/>
      </c>
      <c r="O98" s="131"/>
      <c r="P98" s="131"/>
      <c r="Q98" s="132"/>
      <c r="R98" s="119"/>
      <c r="S98" s="119"/>
      <c r="T98" s="119"/>
      <c r="U98" s="133" t="str">
        <f>IF([15]回答表!F17="水道事業",IF([15]回答表!AD45="●",[15]回答表!B289,""),"")</f>
        <v/>
      </c>
      <c r="V98" s="134"/>
      <c r="W98" s="134"/>
      <c r="X98" s="134"/>
      <c r="Y98" s="134"/>
      <c r="Z98" s="134"/>
      <c r="AA98" s="134"/>
      <c r="AB98" s="134"/>
      <c r="AC98" s="134"/>
      <c r="AD98" s="134"/>
      <c r="AE98" s="134"/>
      <c r="AF98" s="134"/>
      <c r="AG98" s="134"/>
      <c r="AH98" s="134"/>
      <c r="AI98" s="134"/>
      <c r="AJ98" s="135"/>
      <c r="AK98" s="183"/>
      <c r="AL98" s="183"/>
      <c r="AM98" s="133" t="str">
        <f>IF([15]回答表!F17="水道事業",IF([15]回答表!AD45="●",[15]回答表!B295,""),"")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IF([15]回答表!F17="簡易水道事業",IF([15]回答表!X45="●",[15]回答表!B158,IF([15]回答表!AA45="●",[15]回答表!B223,"")),"")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IF([15]回答表!F17="簡易水道事業",IF([15]回答表!X45="●",[15]回答表!B212,IF([15]回答表!AA45="●",[15]回答表!B278,"")),"")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IF([15]回答表!F17="簡易水道事業",IF([15]回答表!X45="●","●",""),"")</f>
        <v/>
      </c>
      <c r="O112" s="131"/>
      <c r="P112" s="131"/>
      <c r="Q112" s="132"/>
      <c r="R112" s="119"/>
      <c r="S112" s="119"/>
      <c r="T112" s="119"/>
      <c r="U112" s="82" t="str">
        <f>IF([15]回答表!F17="簡易水道事業",IF([15]回答表!X45="●",[15]回答表!Y185,IF([15]回答表!AA45="●",[15]回答表!Y251,"")),"")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IF([15]回答表!F17="簡易水道事業",IF([15]回答表!X45="●",[15]回答表!E212,IF([15]回答表!AA45="●",[15]回答表!E278,"")),"")</f>
        <v/>
      </c>
      <c r="BG113" s="151"/>
      <c r="BH113" s="151"/>
      <c r="BI113" s="151"/>
      <c r="BJ113" s="150" t="str">
        <f>IF([15]回答表!F17="簡易水道事業",IF([15]回答表!X45="●",[15]回答表!E213,IF([15]回答表!AA45="●",[15]回答表!E279,"")),"")</f>
        <v/>
      </c>
      <c r="BK113" s="151"/>
      <c r="BL113" s="151"/>
      <c r="BM113" s="151"/>
      <c r="BN113" s="150" t="str">
        <f>IF([15]回答表!F17="簡易水道事業",IF([15]回答表!X45="●",[15]回答表!E214,IF([15]回答表!AA45="●",[15]回答表!E280,"")),"")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IF([15]回答表!F17="簡易水道事業",IF([15]回答表!X45="●",[15]回答表!Y186,IF([15]回答表!AA45="●",[15]回答表!Y252,"")),"")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IF([15]回答表!F17="簡易水道事業",IF([15]回答表!AA45="●","●",""),"")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IF([15]回答表!F17="簡易水道事業",IF([15]回答表!X45="●",[15]回答表!Y187,IF([15]回答表!AA45="●",[15]回答表!Y253,"")),"")</f>
        <v/>
      </c>
      <c r="V122" s="83"/>
      <c r="W122" s="83"/>
      <c r="X122" s="83"/>
      <c r="Y122" s="83"/>
      <c r="Z122" s="83"/>
      <c r="AA122" s="83"/>
      <c r="AB122" s="83"/>
      <c r="AC122" s="83"/>
      <c r="AD122" s="83"/>
      <c r="AE122" s="83"/>
      <c r="AF122" s="83"/>
      <c r="AG122" s="83"/>
      <c r="AH122" s="83"/>
      <c r="AI122" s="83"/>
      <c r="AJ122" s="153"/>
      <c r="AK122" s="68"/>
      <c r="AL122" s="68"/>
      <c r="AM122" s="233" t="str">
        <f>IF([15]回答表!F17="簡易水道事業",IF([15]回答表!X45="●",[15]回答表!Y189,IF([15]回答表!AA45="●",[15]回答表!Y255,"")),"")</f>
        <v/>
      </c>
      <c r="AN122" s="233"/>
      <c r="AO122" s="233"/>
      <c r="AP122" s="233"/>
      <c r="AQ122" s="233"/>
      <c r="AR122" s="233"/>
      <c r="AS122" s="233" t="str">
        <f>IF([15]回答表!F17="簡易水道事業",IF([15]回答表!X45="●",[15]回答表!Y190,IF([15]回答表!AA45="●",[15]回答表!Y256,"")),"")</f>
        <v/>
      </c>
      <c r="AT122" s="233"/>
      <c r="AU122" s="233"/>
      <c r="AV122" s="233"/>
      <c r="AW122" s="233"/>
      <c r="AX122" s="233"/>
      <c r="AY122" s="233" t="str">
        <f>IF([15]回答表!F17="簡易水道事業",IF([15]回答表!X45="●",[15]回答表!Y191,IF([15]回答表!AA45="●",[15]回答表!Y257,"")),"")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IF([15]回答表!F17="簡易水道事業",IF([15]回答表!AD45="●","●",""),"")</f>
        <v/>
      </c>
      <c r="O127" s="131"/>
      <c r="P127" s="131"/>
      <c r="Q127" s="132"/>
      <c r="R127" s="119"/>
      <c r="S127" s="119"/>
      <c r="T127" s="119"/>
      <c r="U127" s="133" t="str">
        <f>IF([15]回答表!F17="簡易水道事業",IF([15]回答表!AD45="●",[15]回答表!B289,""),"")</f>
        <v/>
      </c>
      <c r="V127" s="134"/>
      <c r="W127" s="134"/>
      <c r="X127" s="134"/>
      <c r="Y127" s="134"/>
      <c r="Z127" s="134"/>
      <c r="AA127" s="134"/>
      <c r="AB127" s="134"/>
      <c r="AC127" s="134"/>
      <c r="AD127" s="134"/>
      <c r="AE127" s="134"/>
      <c r="AF127" s="134"/>
      <c r="AG127" s="134"/>
      <c r="AH127" s="134"/>
      <c r="AI127" s="134"/>
      <c r="AJ127" s="135"/>
      <c r="AK127" s="183"/>
      <c r="AL127" s="183"/>
      <c r="AM127" s="133" t="str">
        <f>IF([15]回答表!F17="簡易水道事業",IF([15]回答表!AD45="●",[15]回答表!B295,""),"")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IF([15]回答表!F17="下水道事業",IF([15]回答表!X45="●","●",""),"")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IF([15]回答表!F17="下水道事業",IF([15]回答表!X45="●",[15]回答表!B158,IF([15]回答表!AA45="●",[15]回答表!B223,"")),"")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IF([15]回答表!F17="下水道事業",IF([15]回答表!X45="●",[15]回答表!B212,IF([15]回答表!AA45="●",[15]回答表!B278,"")),"")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IF([15]回答表!F17="下水道事業",IF([15]回答表!X45="●",[15]回答表!Y193,IF([15]回答表!AA45="●",[15]回答表!Y259,"")),"")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IF([15]回答表!F17="下水道事業",IF([15]回答表!X45="●",[15]回答表!E212,IF([15]回答表!AA45="●",[15]回答表!E278,"")),"")</f>
        <v/>
      </c>
      <c r="BG142" s="151"/>
      <c r="BH142" s="151"/>
      <c r="BI142" s="151"/>
      <c r="BJ142" s="150" t="str">
        <f>IF([15]回答表!F17="下水道事業",IF([15]回答表!X45="●",[15]回答表!E213,IF([15]回答表!AA45="●",[15]回答表!E279,"")),"")</f>
        <v/>
      </c>
      <c r="BK142" s="151"/>
      <c r="BL142" s="151"/>
      <c r="BM142" s="151"/>
      <c r="BN142" s="150" t="str">
        <f>IF([15]回答表!F17="下水道事業",IF([15]回答表!X45="●",[15]回答表!E214,IF([15]回答表!AA45="●",[15]回答表!E280,"")),"")</f>
        <v/>
      </c>
      <c r="BO142" s="151"/>
      <c r="BP142" s="151"/>
      <c r="BQ142" s="152"/>
      <c r="BR142" s="112"/>
      <c r="BX142" s="200" t="str">
        <f>IF([15]回答表!AQ20="下水道事業",IF([15]回答表!BI48="○",[15]回答表!AM161,IF([15]回答表!BL48="○",[15]回答表!AM226,"")),"")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IF([15]回答表!F17="下水道事業",IF([15]回答表!X45="●",[15]回答表!Y195,IF([15]回答表!AA45="●",[15]回答表!Y261,"")),"")</f>
        <v/>
      </c>
      <c r="V147" s="83"/>
      <c r="W147" s="83"/>
      <c r="X147" s="83"/>
      <c r="Y147" s="83"/>
      <c r="Z147" s="83"/>
      <c r="AA147" s="83"/>
      <c r="AB147" s="153"/>
      <c r="AC147" s="82" t="str">
        <f>IF([15]回答表!F17="下水道事業",IF([15]回答表!X45="●",[15]回答表!Y196,IF([15]回答表!AA45="●",[15]回答表!Y262,"")),"")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IF([15]回答表!F17="下水道事業",IF([15]回答表!X45="●",[15]回答表!Y198,IF([15]回答表!AA45="●",[15]回答表!Y264,"")),"")</f>
        <v/>
      </c>
      <c r="V153" s="83"/>
      <c r="W153" s="83"/>
      <c r="X153" s="83"/>
      <c r="Y153" s="83"/>
      <c r="Z153" s="83"/>
      <c r="AA153" s="83"/>
      <c r="AB153" s="153"/>
      <c r="AC153" s="82" t="str">
        <f>IF([15]回答表!F17="下水道事業",IF([15]回答表!X45="●",[15]回答表!Y199,IF([15]回答表!AA45="●",[15]回答表!Y265,"")),"")</f>
        <v/>
      </c>
      <c r="AD153" s="83"/>
      <c r="AE153" s="83"/>
      <c r="AF153" s="83"/>
      <c r="AG153" s="83"/>
      <c r="AH153" s="83"/>
      <c r="AI153" s="83"/>
      <c r="AJ153" s="153"/>
      <c r="AK153" s="82" t="str">
        <f>IF([15]回答表!F17="下水道事業",IF([15]回答表!X45="●",[15]回答表!Y200,IF([15]回答表!AA45="●",[15]回答表!Y266,"")),"")</f>
        <v/>
      </c>
      <c r="AL153" s="83"/>
      <c r="AM153" s="83"/>
      <c r="AN153" s="83"/>
      <c r="AO153" s="83"/>
      <c r="AP153" s="83"/>
      <c r="AQ153" s="83"/>
      <c r="AR153" s="153"/>
      <c r="AS153" s="82" t="str">
        <f>IF([15]回答表!F17="下水道事業",IF([15]回答表!X45="●",[15]回答表!Y201,IF([15]回答表!AA45="●",[15]回答表!Y267,"")),"")</f>
        <v/>
      </c>
      <c r="AT153" s="83"/>
      <c r="AU153" s="83"/>
      <c r="AV153" s="83"/>
      <c r="AW153" s="83"/>
      <c r="AX153" s="83"/>
      <c r="AY153" s="83"/>
      <c r="AZ153" s="153"/>
      <c r="BA153" s="82" t="str">
        <f>IF([15]回答表!F17="下水道事業",IF([15]回答表!X45="●",[15]回答表!Y202,IF([15]回答表!AA45="●",[15]回答表!Y268,"")),"")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IF([15]回答表!F17="下水道事業",IF([15]回答表!AA45="●","●",""),"")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IF([15]回答表!F17="下水道事業",IF([15]回答表!X45="●",[15]回答表!Y207,IF([15]回答表!AA45="●",[15]回答表!Y273,"")),"")</f>
        <v/>
      </c>
      <c r="V159" s="83"/>
      <c r="W159" s="83"/>
      <c r="X159" s="83"/>
      <c r="Y159" s="83"/>
      <c r="Z159" s="83"/>
      <c r="AA159" s="83"/>
      <c r="AB159" s="153"/>
      <c r="AC159" s="82" t="str">
        <f>IF([15]回答表!F17="下水道事業",IF([15]回答表!X45="●",[15]回答表!Y208,IF([15]回答表!AA45="●",[15]回答表!Y274,"")),"")</f>
        <v/>
      </c>
      <c r="AD159" s="83"/>
      <c r="AE159" s="83"/>
      <c r="AF159" s="83"/>
      <c r="AG159" s="83"/>
      <c r="AH159" s="83"/>
      <c r="AI159" s="83"/>
      <c r="AJ159" s="153"/>
      <c r="AK159" s="82" t="str">
        <f>IF([15]回答表!F17="下水道事業",IF([15]回答表!X45="●",[15]回答表!Y209,IF([15]回答表!AA45="●",[15]回答表!Y275,"")),"")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IF([15]回答表!F17="下水道事業",IF([15]回答表!AD45="●","●",""),"")</f>
        <v/>
      </c>
      <c r="O164" s="131"/>
      <c r="P164" s="131"/>
      <c r="Q164" s="132"/>
      <c r="R164" s="119"/>
      <c r="S164" s="119"/>
      <c r="T164" s="119"/>
      <c r="U164" s="133" t="str">
        <f>IF([15]回答表!F17="下水道事業",IF([15]回答表!AD45="●",[15]回答表!B289,""),"")</f>
        <v/>
      </c>
      <c r="V164" s="134"/>
      <c r="W164" s="134"/>
      <c r="X164" s="134"/>
      <c r="Y164" s="134"/>
      <c r="Z164" s="134"/>
      <c r="AA164" s="134"/>
      <c r="AB164" s="134"/>
      <c r="AC164" s="134"/>
      <c r="AD164" s="134"/>
      <c r="AE164" s="134"/>
      <c r="AF164" s="134"/>
      <c r="AG164" s="134"/>
      <c r="AH164" s="134"/>
      <c r="AI164" s="134"/>
      <c r="AJ164" s="135"/>
      <c r="AK164" s="183"/>
      <c r="AL164" s="183"/>
      <c r="AM164" s="133" t="str">
        <f>IF([15]回答表!F17="下水道事業",IF([15]回答表!AD45="●",[15]回答表!B295,""),"")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IF([15]回答表!BD17="●",IF([15]回答表!X45="●","●",""),"")</f>
        <v/>
      </c>
      <c r="O176" s="131"/>
      <c r="P176" s="131"/>
      <c r="Q176" s="132"/>
      <c r="R176" s="119"/>
      <c r="S176" s="119"/>
      <c r="T176" s="119"/>
      <c r="U176" s="133" t="str">
        <f>IF([15]回答表!BD17="●",IF([15]回答表!X45="●",[15]回答表!B158,IF([15]回答表!AA45="●",[15]回答表!B223,"")),"")</f>
        <v/>
      </c>
      <c r="V176" s="134"/>
      <c r="W176" s="134"/>
      <c r="X176" s="134"/>
      <c r="Y176" s="134"/>
      <c r="Z176" s="134"/>
      <c r="AA176" s="134"/>
      <c r="AB176" s="134"/>
      <c r="AC176" s="134"/>
      <c r="AD176" s="134"/>
      <c r="AE176" s="134"/>
      <c r="AF176" s="134"/>
      <c r="AG176" s="134"/>
      <c r="AH176" s="134"/>
      <c r="AI176" s="134"/>
      <c r="AJ176" s="135"/>
      <c r="AK176" s="136"/>
      <c r="AL176" s="136"/>
      <c r="AM176" s="138" t="str">
        <f>IF([15]回答表!BD17="●",IF([15]回答表!X45="●",[15]回答表!B212,IF([15]回答表!AA45="●",[15]回答表!B278,"")),"")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IF([15]回答表!BD17="●",IF([15]回答表!X45="●",[15]回答表!E212,IF([15]回答表!AA45="●",[15]回答表!E278,"")),"")</f>
        <v/>
      </c>
      <c r="AN179" s="151"/>
      <c r="AO179" s="151"/>
      <c r="AP179" s="151"/>
      <c r="AQ179" s="150" t="str">
        <f>IF([15]回答表!BD17="●",IF([15]回答表!X45="●",[15]回答表!E213,IF([15]回答表!AA45="●",[15]回答表!E279,"")),"")</f>
        <v/>
      </c>
      <c r="AR179" s="151"/>
      <c r="AS179" s="151"/>
      <c r="AT179" s="151"/>
      <c r="AU179" s="150" t="str">
        <f>IF([15]回答表!BD17="●",IF([15]回答表!X45="●",[15]回答表!E214,IF([15]回答表!AA45="●",[15]回答表!E280,"")),"")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IF([15]回答表!BD17="●",IF([15]回答表!AA45="●","●",""),"")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IF([15]回答表!BD17="●",IF([15]回答表!AD45="●","●",""),"")</f>
        <v/>
      </c>
      <c r="O188" s="131"/>
      <c r="P188" s="131"/>
      <c r="Q188" s="132"/>
      <c r="R188" s="119"/>
      <c r="S188" s="119"/>
      <c r="T188" s="119"/>
      <c r="U188" s="133" t="str">
        <f>IF([15]回答表!BD17="●",IF([15]回答表!AD45="●",[15]回答表!B289,""),"")</f>
        <v/>
      </c>
      <c r="V188" s="134"/>
      <c r="W188" s="134"/>
      <c r="X188" s="134"/>
      <c r="Y188" s="134"/>
      <c r="Z188" s="134"/>
      <c r="AA188" s="134"/>
      <c r="AB188" s="134"/>
      <c r="AC188" s="134"/>
      <c r="AD188" s="134"/>
      <c r="AE188" s="134"/>
      <c r="AF188" s="134"/>
      <c r="AG188" s="134"/>
      <c r="AH188" s="134"/>
      <c r="AI188" s="134"/>
      <c r="AJ188" s="135"/>
      <c r="AK188" s="183"/>
      <c r="AL188" s="183"/>
      <c r="AM188" s="133" t="str">
        <f>IF([15]回答表!BD17="●",IF([15]回答表!AD45="●",[15]回答表!B295,""),"")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IF([15]回答表!X46="●","●","")</f>
        <v/>
      </c>
      <c r="O200" s="131"/>
      <c r="P200" s="131"/>
      <c r="Q200" s="132"/>
      <c r="R200" s="119"/>
      <c r="S200" s="119"/>
      <c r="T200" s="119"/>
      <c r="U200" s="133" t="str">
        <f>IF([15]回答表!X46="●",[15]回答表!B307,IF([15]回答表!AA46="●",[15]回答表!B324,""))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IF([15]回答表!X46="●",[15]回答表!U313,IF([15]回答表!AA46="●",[15]回答表!U330,""))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IF([15]回答表!X46="●",[15]回答表!G313,IF([15]回答表!AA46="●",[15]回答表!G330,""))</f>
        <v/>
      </c>
      <c r="AN203" s="83"/>
      <c r="AO203" s="83"/>
      <c r="AP203" s="83"/>
      <c r="AQ203" s="83"/>
      <c r="AR203" s="83"/>
      <c r="AS203" s="83"/>
      <c r="AT203" s="153"/>
      <c r="AU203" s="82" t="str">
        <f>IF([15]回答表!X46="●",[15]回答表!G314,IF([15]回答表!AA46="●",[15]回答表!G331,""))</f>
        <v/>
      </c>
      <c r="AV203" s="83"/>
      <c r="AW203" s="83"/>
      <c r="AX203" s="83"/>
      <c r="AY203" s="83"/>
      <c r="AZ203" s="83"/>
      <c r="BA203" s="83"/>
      <c r="BB203" s="153"/>
      <c r="BC203" s="120"/>
      <c r="BD203" s="109"/>
      <c r="BE203" s="109"/>
      <c r="BF203" s="150" t="str">
        <f>IF([15]回答表!X46="●",[15]回答表!X313,IF([15]回答表!AA46="●",[15]回答表!X330,""))</f>
        <v/>
      </c>
      <c r="BG203" s="151"/>
      <c r="BH203" s="151"/>
      <c r="BI203" s="151"/>
      <c r="BJ203" s="150" t="str">
        <f>IF([15]回答表!X46="●",[15]回答表!X314,IF([15]回答表!AA46="●",[15]回答表!X331,""))</f>
        <v/>
      </c>
      <c r="BK203" s="151"/>
      <c r="BL203" s="151"/>
      <c r="BM203" s="152"/>
      <c r="BN203" s="150" t="str">
        <f>IF([15]回答表!X46="●",[15]回答表!X315,IF([15]回答表!AA46="●",[15]回答表!X332,""))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IF([15]回答表!AD46="●","●","")</f>
        <v/>
      </c>
      <c r="O212" s="131"/>
      <c r="P212" s="131"/>
      <c r="Q212" s="132"/>
      <c r="R212" s="119"/>
      <c r="S212" s="119"/>
      <c r="T212" s="119"/>
      <c r="U212" s="133" t="str">
        <f>IF([15]回答表!AD46="●",[15]回答表!B337,"")</f>
        <v/>
      </c>
      <c r="V212" s="134"/>
      <c r="W212" s="134"/>
      <c r="X212" s="134"/>
      <c r="Y212" s="134"/>
      <c r="Z212" s="134"/>
      <c r="AA212" s="134"/>
      <c r="AB212" s="134"/>
      <c r="AC212" s="134"/>
      <c r="AD212" s="134"/>
      <c r="AE212" s="134"/>
      <c r="AF212" s="134"/>
      <c r="AG212" s="134"/>
      <c r="AH212" s="134"/>
      <c r="AI212" s="134"/>
      <c r="AJ212" s="135"/>
      <c r="AK212" s="259"/>
      <c r="AL212" s="259"/>
      <c r="AM212" s="133" t="str">
        <f>IF([15]回答表!AD46="●",[15]回答表!B343,"")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IF([15]回答表!X47="●","●","")</f>
        <v/>
      </c>
      <c r="O224" s="131"/>
      <c r="P224" s="131"/>
      <c r="Q224" s="132"/>
      <c r="R224" s="119"/>
      <c r="S224" s="119"/>
      <c r="T224" s="119"/>
      <c r="U224" s="133" t="str">
        <f>IF([15]回答表!X47="●",[15]回答表!B356,IF([15]回答表!AA47="●",[15]回答表!B379,""))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IF([15]回答表!X47="●",[15]回答表!B362,"")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IF([15]回答表!X47="●",[15]回答表!B368,IF([15]回答表!AA47="●",[15]回答表!B385,""))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IF([15]回答表!X47="●",[15]回答表!E368,IF([15]回答表!AA47="●",[15]回答表!E385,""))</f>
        <v/>
      </c>
      <c r="BG227" s="151"/>
      <c r="BH227" s="151"/>
      <c r="BI227" s="151"/>
      <c r="BJ227" s="150" t="str">
        <f>IF([15]回答表!X47="●",[15]回答表!E369,IF([15]回答表!AA47="●",[15]回答表!E386,""))</f>
        <v/>
      </c>
      <c r="BK227" s="151"/>
      <c r="BL227" s="151"/>
      <c r="BM227" s="152"/>
      <c r="BN227" s="150" t="str">
        <f>IF([15]回答表!X47="●",[15]回答表!E370,IF([15]回答表!AA47="●",[15]回答表!E387,""))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IF([15]回答表!AD47="●","●","")</f>
        <v/>
      </c>
      <c r="O236" s="131"/>
      <c r="P236" s="131"/>
      <c r="Q236" s="132"/>
      <c r="R236" s="119"/>
      <c r="S236" s="119"/>
      <c r="T236" s="119"/>
      <c r="U236" s="133" t="str">
        <f>IF([15]回答表!AD47="●",[15]回答表!B392,"")</f>
        <v/>
      </c>
      <c r="V236" s="134"/>
      <c r="W236" s="134"/>
      <c r="X236" s="134"/>
      <c r="Y236" s="134"/>
      <c r="Z236" s="134"/>
      <c r="AA236" s="134"/>
      <c r="AB236" s="134"/>
      <c r="AC236" s="134"/>
      <c r="AD236" s="134"/>
      <c r="AE236" s="134"/>
      <c r="AF236" s="134"/>
      <c r="AG236" s="134"/>
      <c r="AH236" s="134"/>
      <c r="AI236" s="134"/>
      <c r="AJ236" s="135"/>
      <c r="AK236" s="259"/>
      <c r="AL236" s="259"/>
      <c r="AM236" s="133" t="str">
        <f>IF([15]回答表!AD47="●",[15]回答表!B398,"")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IF([15]回答表!X48="●","●","")</f>
        <v/>
      </c>
      <c r="O248" s="131"/>
      <c r="P248" s="131"/>
      <c r="Q248" s="132"/>
      <c r="R248" s="119"/>
      <c r="S248" s="119"/>
      <c r="T248" s="119"/>
      <c r="U248" s="133" t="str">
        <f>IF([15]回答表!X48="●",[15]回答表!B411,IF([15]回答表!AA48="●",[15]回答表!B425,""))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IF([15]回答表!X48="●",[15]回答表!BC418,IF([15]回答表!AA48="●",[15]回答表!BC432,""))</f>
        <v/>
      </c>
      <c r="AR248" s="272"/>
      <c r="AS248" s="272"/>
      <c r="AT248" s="272"/>
      <c r="AU248" s="273" t="s">
        <v>73</v>
      </c>
      <c r="AV248" s="274"/>
      <c r="AW248" s="274"/>
      <c r="AX248" s="275"/>
      <c r="AY248" s="272" t="str">
        <f>IF([15]回答表!X48="●",[15]回答表!BC423,IF([15]回答表!AA48="●",[15]回答表!BC437,""))</f>
        <v/>
      </c>
      <c r="AZ248" s="272"/>
      <c r="BA248" s="272"/>
      <c r="BB248" s="272"/>
      <c r="BC248" s="120"/>
      <c r="BD248" s="109"/>
      <c r="BE248" s="109"/>
      <c r="BF248" s="138" t="str">
        <f>IF([15]回答表!X48="●",[15]回答表!S417,IF([15]回答表!AA48="●",[15]回答表!S431,""))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IF([15]回答表!X48="●",[15]回答表!BC419,IF([15]回答表!AA48="●",[15]回答表!BC433,""))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IF([15]回答表!X48="●",[15]回答表!V417,IF([15]回答表!AA48="●",[15]回答表!V431,""))</f>
        <v/>
      </c>
      <c r="BG251" s="151"/>
      <c r="BH251" s="151"/>
      <c r="BI251" s="151"/>
      <c r="BJ251" s="150" t="str">
        <f>IF([15]回答表!X48="●",[15]回答表!V418,IF([15]回答表!AA48="●",[15]回答表!V432,""))</f>
        <v/>
      </c>
      <c r="BK251" s="151"/>
      <c r="BL251" s="151"/>
      <c r="BM251" s="152"/>
      <c r="BN251" s="150" t="str">
        <f>IF([15]回答表!X48="●",[15]回答表!V419,IF([15]回答表!AA48="●",[15]回答表!V433,""))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IF([15]回答表!X48="●",[15]回答表!BC420,IF([15]回答表!AA48="●",[15]回答表!BC434,""))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IF([15]回答表!X48="●",[15]回答表!BC424,IF([15]回答表!AA48="●",[15]回答表!BC438,""))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IF([15]回答表!X48="●",[15]回答表!BC421,IF([15]回答表!AA48="●",[15]回答表!BC435,""))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IF([15]回答表!X48="●",[15]回答表!BC422,IF([15]回答表!AA48="●",[15]回答表!BC436,""))</f>
        <v/>
      </c>
      <c r="AR256" s="272"/>
      <c r="AS256" s="272"/>
      <c r="AT256" s="272"/>
      <c r="AU256" s="224" t="s">
        <v>79</v>
      </c>
      <c r="AV256" s="225"/>
      <c r="AW256" s="225"/>
      <c r="AX256" s="226"/>
      <c r="AY256" s="282" t="str">
        <f>IF([15]回答表!X48="●",[15]回答表!BC425,IF([15]回答表!AA48="●",[15]回答表!BC439,""))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IF([15]回答表!AD48="●","●","")</f>
        <v/>
      </c>
      <c r="O260" s="131"/>
      <c r="P260" s="131"/>
      <c r="Q260" s="132"/>
      <c r="R260" s="119"/>
      <c r="S260" s="119"/>
      <c r="T260" s="119"/>
      <c r="U260" s="133" t="str">
        <f>IF([15]回答表!AD48="●",[15]回答表!B439,"")</f>
        <v/>
      </c>
      <c r="V260" s="134"/>
      <c r="W260" s="134"/>
      <c r="X260" s="134"/>
      <c r="Y260" s="134"/>
      <c r="Z260" s="134"/>
      <c r="AA260" s="134"/>
      <c r="AB260" s="134"/>
      <c r="AC260" s="134"/>
      <c r="AD260" s="134"/>
      <c r="AE260" s="134"/>
      <c r="AF260" s="134"/>
      <c r="AG260" s="134"/>
      <c r="AH260" s="134"/>
      <c r="AI260" s="134"/>
      <c r="AJ260" s="135"/>
      <c r="AK260" s="183"/>
      <c r="AL260" s="183"/>
      <c r="AM260" s="133" t="str">
        <f>IF([15]回答表!AD48="●",[15]回答表!B445,"")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IF([15]回答表!X49="●","●","")</f>
        <v/>
      </c>
      <c r="O271" s="131"/>
      <c r="P271" s="131"/>
      <c r="Q271" s="132"/>
      <c r="R271" s="119"/>
      <c r="S271" s="119"/>
      <c r="T271" s="119"/>
      <c r="U271" s="133" t="str">
        <f>IF([15]回答表!X49="●",[15]回答表!B458,IF([15]回答表!AA49="●",[15]回答表!B475,""))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IF([15]回答表!X49="●",[15]回答表!B468,IF([15]回答表!AA49="●",[15]回答表!B485,""))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IF([15]回答表!X49="●",[15]回答表!G464,IF([15]回答表!AA49="●",[15]回答表!G481,""))</f>
        <v/>
      </c>
      <c r="AN273" s="83"/>
      <c r="AO273" s="83"/>
      <c r="AP273" s="83"/>
      <c r="AQ273" s="83"/>
      <c r="AR273" s="83"/>
      <c r="AS273" s="83"/>
      <c r="AT273" s="153"/>
      <c r="AU273" s="82" t="str">
        <f>IF([15]回答表!X49="●",[15]回答表!G465,IF([15]回答表!AA49="●",[15]回答表!G482,""))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IF([15]回答表!X49="●",[15]回答表!E468,IF([15]回答表!AA49="●",[15]回答表!E485,""))</f>
        <v/>
      </c>
      <c r="BG274" s="151"/>
      <c r="BH274" s="151"/>
      <c r="BI274" s="151"/>
      <c r="BJ274" s="150" t="str">
        <f>IF([15]回答表!X49="●",[15]回答表!E469,IF([15]回答表!AA49="●",[15]回答表!E486,""))</f>
        <v/>
      </c>
      <c r="BK274" s="151"/>
      <c r="BL274" s="151"/>
      <c r="BM274" s="152"/>
      <c r="BN274" s="150" t="str">
        <f>IF([15]回答表!X49="●",[15]回答表!E470,IF([15]回答表!AA49="●",[15]回答表!E487,""))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IF([15]回答表!AD49="●","●","")</f>
        <v/>
      </c>
      <c r="O283" s="131"/>
      <c r="P283" s="131"/>
      <c r="Q283" s="132"/>
      <c r="R283" s="119"/>
      <c r="S283" s="119"/>
      <c r="T283" s="119"/>
      <c r="U283" s="133" t="str">
        <f>IF([15]回答表!AD49="●",[15]回答表!B492,"")</f>
        <v/>
      </c>
      <c r="V283" s="134"/>
      <c r="W283" s="134"/>
      <c r="X283" s="134"/>
      <c r="Y283" s="134"/>
      <c r="Z283" s="134"/>
      <c r="AA283" s="134"/>
      <c r="AB283" s="134"/>
      <c r="AC283" s="134"/>
      <c r="AD283" s="134"/>
      <c r="AE283" s="134"/>
      <c r="AF283" s="134"/>
      <c r="AG283" s="134"/>
      <c r="AH283" s="134"/>
      <c r="AI283" s="134"/>
      <c r="AJ283" s="135"/>
      <c r="AK283" s="136"/>
      <c r="AL283" s="136"/>
      <c r="AM283" s="133" t="str">
        <f>IF([15]回答表!AD49="●",[15]回答表!B498,"")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IF([15]回答表!R50="●",[15]回答表!B511,"")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8559-EC8A-409C-B4F7-710A5ADAB02D}">
  <sheetPr>
    <pageSetUpPr fitToPage="1"/>
  </sheetPr>
  <dimension ref="A1:CN315"/>
  <sheetViews>
    <sheetView showZeros="0" view="pageBreakPreview" zoomScale="60" zoomScaleNormal="55" workbookViewId="0">
      <selection activeCell="C8" sqref="C8:T10"/>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大仙市</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
      </c>
      <c r="E24" s="80"/>
      <c r="F24" s="80"/>
      <c r="G24" s="80"/>
      <c r="H24" s="80"/>
      <c r="I24" s="80"/>
      <c r="J24" s="81"/>
      <c r="K24" s="79" t="str">
        <f>IF([2]回答表!R44="●","●","")</f>
        <v/>
      </c>
      <c r="L24" s="80"/>
      <c r="M24" s="80"/>
      <c r="N24" s="80"/>
      <c r="O24" s="80"/>
      <c r="P24" s="80"/>
      <c r="Q24" s="81"/>
      <c r="R24" s="79" t="str">
        <f>IF([2]回答表!R45="●","●","")</f>
        <v>●</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
      </c>
      <c r="O36" s="131"/>
      <c r="P36" s="131"/>
      <c r="Q36" s="132"/>
      <c r="R36" s="119"/>
      <c r="S36" s="119"/>
      <c r="T36" s="119"/>
      <c r="U36" s="133" t="str">
        <f>IF([2]回答表!X43="●",[2]回答表!B59,IF([2]回答表!AA43="●",[2]回答表!B79,""))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IF([2]回答表!X43="●",[2]回答表!G65,IF([2]回答表!AA43="●",[2]回答表!G85,""))</f>
        <v/>
      </c>
      <c r="AN38" s="83"/>
      <c r="AO38" s="83"/>
      <c r="AP38" s="83"/>
      <c r="AQ38" s="83"/>
      <c r="AR38" s="83"/>
      <c r="AS38" s="83"/>
      <c r="AT38" s="153"/>
      <c r="AU38" s="82" t="str">
        <f>IF([2]回答表!X43="●",[2]回答表!G66,IF([2]回答表!AA43="●",[2]回答表!G86,""))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IF([2]回答表!X43="●",[2]回答表!V65,IF([2]回答表!AA43="●",[2]回答表!V85,""))</f>
        <v/>
      </c>
      <c r="BG39" s="16"/>
      <c r="BH39" s="16"/>
      <c r="BI39" s="17"/>
      <c r="BJ39" s="150" t="str">
        <f>IF([2]回答表!X43="●",[2]回答表!V66,IF([2]回答表!AA43="●",[2]回答表!V86,""))</f>
        <v/>
      </c>
      <c r="BK39" s="16"/>
      <c r="BL39" s="16"/>
      <c r="BM39" s="17"/>
      <c r="BN39" s="150" t="str">
        <f>IF([2]回答表!X43="●",[2]回答表!V67,IF([2]回答表!AA43="●",[2]回答表!V87,""))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IF([2]回答表!X43="●",[2]回答表!O71,IF([2]回答表!AA43="●",[2]回答表!O91,""))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IF([2]回答表!X43="●",[2]回答表!O72,IF([2]回答表!AA43="●",[2]回答表!O92,""))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IF([2]回答表!X43="●",[2]回答表!O73,IF([2]回答表!AA43="●",[2]回答表!O93,""))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IF([2]回答表!X43="●",[2]回答表!O74,IF([2]回答表!AA43="●",[2]回答表!O94,""))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IF([2]回答表!X43="●",[2]回答表!AG71,IF([2]回答表!AA43="●",[2]回答表!AG91,""))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IF([2]回答表!X43="●",[2]回答表!AG72,IF([2]回答表!AA43="●",[2]回答表!AG92,""))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67.5" customHeight="1" x14ac:dyDescent="0.4">
      <c r="C127" s="101"/>
      <c r="D127" s="194" t="s">
        <v>33</v>
      </c>
      <c r="E127" s="194"/>
      <c r="F127" s="194"/>
      <c r="G127" s="194"/>
      <c r="H127" s="194"/>
      <c r="I127" s="194"/>
      <c r="J127" s="194"/>
      <c r="K127" s="194"/>
      <c r="L127" s="194"/>
      <c r="M127" s="213"/>
      <c r="N127" s="130" t="str">
        <f>IF([2]回答表!F17="簡易水道事業",IF([2]回答表!AD45="●","●",""),"")</f>
        <v>●</v>
      </c>
      <c r="O127" s="131"/>
      <c r="P127" s="131"/>
      <c r="Q127" s="132"/>
      <c r="R127" s="119"/>
      <c r="S127" s="119"/>
      <c r="T127" s="119"/>
      <c r="U127" s="313" t="str">
        <f>IF([2]回答表!F17="簡易水道事業",IF([2]回答表!AD45="●",[2]回答表!B289,""),"")</f>
        <v>　県南地区の水道事業体で構成する『県南地区水道連携推進座談会』に参加している。連携促進に向けた活動組織として、既存施設の見学や先進地視察及び、講師を招いての研修などにより、水道事業体間の相互理解を図ることを目的とし、現在は、事務処理の共同実施や施設の共同利用等、実効性のある広域連携に向けた活動などについて勉強している状況。</v>
      </c>
      <c r="V127" s="314"/>
      <c r="W127" s="314"/>
      <c r="X127" s="314"/>
      <c r="Y127" s="314"/>
      <c r="Z127" s="314"/>
      <c r="AA127" s="314"/>
      <c r="AB127" s="314"/>
      <c r="AC127" s="314"/>
      <c r="AD127" s="314"/>
      <c r="AE127" s="314"/>
      <c r="AF127" s="314"/>
      <c r="AG127" s="314"/>
      <c r="AH127" s="314"/>
      <c r="AI127" s="314"/>
      <c r="AJ127" s="315"/>
      <c r="AK127" s="183"/>
      <c r="AL127" s="183"/>
      <c r="AM127" s="313" t="str">
        <f>IF([2]回答表!F17="簡易水道事業",IF([2]回答表!AD45="●",[2]回答表!B295,""),"")</f>
        <v>　県南地区は、給水区域が広く施設数が多いことにより、統廃合にかかる多額な整備費用を要することなどが課題となっている。
　今後、秋田県水道ビジョンが策定され、県主導のもとで市町村間の共同管理体制の検討・指導が図られる予定となっている。</v>
      </c>
      <c r="AN127" s="314"/>
      <c r="AO127" s="314"/>
      <c r="AP127" s="314"/>
      <c r="AQ127" s="314"/>
      <c r="AR127" s="314"/>
      <c r="AS127" s="314"/>
      <c r="AT127" s="314"/>
      <c r="AU127" s="314"/>
      <c r="AV127" s="314"/>
      <c r="AW127" s="314"/>
      <c r="AX127" s="314"/>
      <c r="AY127" s="314"/>
      <c r="AZ127" s="314"/>
      <c r="BA127" s="314"/>
      <c r="BB127" s="314"/>
      <c r="BC127" s="314"/>
      <c r="BD127" s="314"/>
      <c r="BE127" s="314"/>
      <c r="BF127" s="314"/>
      <c r="BG127" s="314"/>
      <c r="BH127" s="314"/>
      <c r="BI127" s="314"/>
      <c r="BJ127" s="314"/>
      <c r="BK127" s="314"/>
      <c r="BL127" s="314"/>
      <c r="BM127" s="314"/>
      <c r="BN127" s="314"/>
      <c r="BO127" s="314"/>
      <c r="BP127" s="314"/>
      <c r="BQ127" s="315"/>
      <c r="BR127" s="112"/>
    </row>
    <row r="128" spans="3:70" ht="67.5" customHeight="1" x14ac:dyDescent="0.4">
      <c r="C128" s="101"/>
      <c r="D128" s="194"/>
      <c r="E128" s="194"/>
      <c r="F128" s="194"/>
      <c r="G128" s="194"/>
      <c r="H128" s="194"/>
      <c r="I128" s="194"/>
      <c r="J128" s="194"/>
      <c r="K128" s="194"/>
      <c r="L128" s="194"/>
      <c r="M128" s="213"/>
      <c r="N128" s="144"/>
      <c r="O128" s="145"/>
      <c r="P128" s="145"/>
      <c r="Q128" s="146"/>
      <c r="R128" s="119"/>
      <c r="S128" s="119"/>
      <c r="T128" s="119"/>
      <c r="U128" s="316"/>
      <c r="V128" s="317"/>
      <c r="W128" s="317"/>
      <c r="X128" s="317"/>
      <c r="Y128" s="317"/>
      <c r="Z128" s="317"/>
      <c r="AA128" s="317"/>
      <c r="AB128" s="317"/>
      <c r="AC128" s="317"/>
      <c r="AD128" s="317"/>
      <c r="AE128" s="317"/>
      <c r="AF128" s="317"/>
      <c r="AG128" s="317"/>
      <c r="AH128" s="317"/>
      <c r="AI128" s="317"/>
      <c r="AJ128" s="318"/>
      <c r="AK128" s="183"/>
      <c r="AL128" s="183"/>
      <c r="AM128" s="316"/>
      <c r="AN128" s="317"/>
      <c r="AO128" s="317"/>
      <c r="AP128" s="317"/>
      <c r="AQ128" s="317"/>
      <c r="AR128" s="317"/>
      <c r="AS128" s="317"/>
      <c r="AT128" s="317"/>
      <c r="AU128" s="317"/>
      <c r="AV128" s="317"/>
      <c r="AW128" s="317"/>
      <c r="AX128" s="317"/>
      <c r="AY128" s="317"/>
      <c r="AZ128" s="317"/>
      <c r="BA128" s="317"/>
      <c r="BB128" s="317"/>
      <c r="BC128" s="317"/>
      <c r="BD128" s="317"/>
      <c r="BE128" s="317"/>
      <c r="BF128" s="317"/>
      <c r="BG128" s="317"/>
      <c r="BH128" s="317"/>
      <c r="BI128" s="317"/>
      <c r="BJ128" s="317"/>
      <c r="BK128" s="317"/>
      <c r="BL128" s="317"/>
      <c r="BM128" s="317"/>
      <c r="BN128" s="317"/>
      <c r="BO128" s="317"/>
      <c r="BP128" s="317"/>
      <c r="BQ128" s="318"/>
      <c r="BR128" s="112"/>
    </row>
    <row r="129" spans="3:92" ht="67.5" customHeight="1" x14ac:dyDescent="0.4">
      <c r="C129" s="101"/>
      <c r="D129" s="194"/>
      <c r="E129" s="194"/>
      <c r="F129" s="194"/>
      <c r="G129" s="194"/>
      <c r="H129" s="194"/>
      <c r="I129" s="194"/>
      <c r="J129" s="194"/>
      <c r="K129" s="194"/>
      <c r="L129" s="194"/>
      <c r="M129" s="213"/>
      <c r="N129" s="144"/>
      <c r="O129" s="145"/>
      <c r="P129" s="145"/>
      <c r="Q129" s="146"/>
      <c r="R129" s="119"/>
      <c r="S129" s="119"/>
      <c r="T129" s="119"/>
      <c r="U129" s="316"/>
      <c r="V129" s="317"/>
      <c r="W129" s="317"/>
      <c r="X129" s="317"/>
      <c r="Y129" s="317"/>
      <c r="Z129" s="317"/>
      <c r="AA129" s="317"/>
      <c r="AB129" s="317"/>
      <c r="AC129" s="317"/>
      <c r="AD129" s="317"/>
      <c r="AE129" s="317"/>
      <c r="AF129" s="317"/>
      <c r="AG129" s="317"/>
      <c r="AH129" s="317"/>
      <c r="AI129" s="317"/>
      <c r="AJ129" s="318"/>
      <c r="AK129" s="183"/>
      <c r="AL129" s="183"/>
      <c r="AM129" s="316"/>
      <c r="AN129" s="317"/>
      <c r="AO129" s="317"/>
      <c r="AP129" s="317"/>
      <c r="AQ129" s="317"/>
      <c r="AR129" s="317"/>
      <c r="AS129" s="317"/>
      <c r="AT129" s="317"/>
      <c r="AU129" s="317"/>
      <c r="AV129" s="317"/>
      <c r="AW129" s="317"/>
      <c r="AX129" s="317"/>
      <c r="AY129" s="317"/>
      <c r="AZ129" s="317"/>
      <c r="BA129" s="317"/>
      <c r="BB129" s="317"/>
      <c r="BC129" s="317"/>
      <c r="BD129" s="317"/>
      <c r="BE129" s="317"/>
      <c r="BF129" s="317"/>
      <c r="BG129" s="317"/>
      <c r="BH129" s="317"/>
      <c r="BI129" s="317"/>
      <c r="BJ129" s="317"/>
      <c r="BK129" s="317"/>
      <c r="BL129" s="317"/>
      <c r="BM129" s="317"/>
      <c r="BN129" s="317"/>
      <c r="BO129" s="317"/>
      <c r="BP129" s="317"/>
      <c r="BQ129" s="318"/>
      <c r="BR129" s="112"/>
    </row>
    <row r="130" spans="3:92" ht="67.5" customHeight="1" x14ac:dyDescent="0.4">
      <c r="C130" s="101"/>
      <c r="D130" s="194"/>
      <c r="E130" s="194"/>
      <c r="F130" s="194"/>
      <c r="G130" s="194"/>
      <c r="H130" s="194"/>
      <c r="I130" s="194"/>
      <c r="J130" s="194"/>
      <c r="K130" s="194"/>
      <c r="L130" s="194"/>
      <c r="M130" s="213"/>
      <c r="N130" s="154"/>
      <c r="O130" s="155"/>
      <c r="P130" s="155"/>
      <c r="Q130" s="156"/>
      <c r="R130" s="119"/>
      <c r="S130" s="119"/>
      <c r="T130" s="119"/>
      <c r="U130" s="319"/>
      <c r="V130" s="320"/>
      <c r="W130" s="320"/>
      <c r="X130" s="320"/>
      <c r="Y130" s="320"/>
      <c r="Z130" s="320"/>
      <c r="AA130" s="320"/>
      <c r="AB130" s="320"/>
      <c r="AC130" s="320"/>
      <c r="AD130" s="320"/>
      <c r="AE130" s="320"/>
      <c r="AF130" s="320"/>
      <c r="AG130" s="320"/>
      <c r="AH130" s="320"/>
      <c r="AI130" s="320"/>
      <c r="AJ130" s="321"/>
      <c r="AK130" s="183"/>
      <c r="AL130" s="183"/>
      <c r="AM130" s="319"/>
      <c r="AN130" s="320"/>
      <c r="AO130" s="320"/>
      <c r="AP130" s="320"/>
      <c r="AQ130" s="320"/>
      <c r="AR130" s="320"/>
      <c r="AS130" s="320"/>
      <c r="AT130" s="320"/>
      <c r="AU130" s="320"/>
      <c r="AV130" s="320"/>
      <c r="AW130" s="320"/>
      <c r="AX130" s="320"/>
      <c r="AY130" s="320"/>
      <c r="AZ130" s="320"/>
      <c r="BA130" s="320"/>
      <c r="BB130" s="320"/>
      <c r="BC130" s="320"/>
      <c r="BD130" s="320"/>
      <c r="BE130" s="320"/>
      <c r="BF130" s="320"/>
      <c r="BG130" s="320"/>
      <c r="BH130" s="320"/>
      <c r="BI130" s="320"/>
      <c r="BJ130" s="320"/>
      <c r="BK130" s="320"/>
      <c r="BL130" s="320"/>
      <c r="BM130" s="320"/>
      <c r="BN130" s="320"/>
      <c r="BO130" s="320"/>
      <c r="BP130" s="320"/>
      <c r="BQ130" s="32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7" priority="2">
      <formula>$BB$25="○"</formula>
    </cfRule>
  </conditionalFormatting>
  <conditionalFormatting sqref="BD28:BD30">
    <cfRule type="expression" dxfId="2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E066-DA9A-43CE-B390-F1F17E34B5F3}">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大仙市</v>
      </c>
      <c r="D11" s="8"/>
      <c r="E11" s="8"/>
      <c r="F11" s="8"/>
      <c r="G11" s="8"/>
      <c r="H11" s="8"/>
      <c r="I11" s="8"/>
      <c r="J11" s="8"/>
      <c r="K11" s="8"/>
      <c r="L11" s="8"/>
      <c r="M11" s="8"/>
      <c r="N11" s="8"/>
      <c r="O11" s="8"/>
      <c r="P11" s="8"/>
      <c r="Q11" s="8"/>
      <c r="R11" s="8"/>
      <c r="S11" s="8"/>
      <c r="T11" s="8"/>
      <c r="U11" s="22" t="str">
        <f>IF(COUNTIF([3]回答表!F17,"*")&gt;0,[3]回答表!F17,"")</f>
        <v>病院事業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令和元年度後期から令和２年度前期にかけて、入院患者数の減少により、医業収益が減少したが、診療体制及び新患受付体制の改善により、令和２年度後半は医業収益が大幅に回復した。長期的には人口減少等により入院患者数は減少傾向にあるため、令和２年度は経営改革基本方針を策定し、経営改革に取り組んでいるが、当病院は採算性の低い精神科の単科病院であるため、民間委託という選択肢は現実的ではなく、現在のところ経営改革基本方針には、盛り込まれていない。</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5" priority="2">
      <formula>$BB$25="○"</formula>
    </cfRule>
  </conditionalFormatting>
  <conditionalFormatting sqref="BD28:BD30">
    <cfRule type="expression" dxfId="2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422C-72C3-4615-A955-6D3C395C9074}">
  <sheetPr>
    <pageSetUpPr fitToPage="1"/>
  </sheetPr>
  <dimension ref="A1:CN315"/>
  <sheetViews>
    <sheetView showZeros="0" view="pageBreakPreview" zoomScale="60" zoomScaleNormal="55" workbookViewId="0">
      <selection activeCell="AM139" sqref="AM139:BC14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大仙市</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公共下水道</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22" t="str">
        <f>IF([4]回答表!F17="下水道事業",IF([4]回答表!X45="●",[4]回答表!B158,IF([4]回答表!AA45="●",[4]回答表!B223,"")),"")</f>
        <v>各自治体が個別に行っていた汚泥処理を県の流域下水道を核に広域化・共同化し県南を１単位とした広域集約処理することにより、コストを縮減し将来への負担を軽減する。
　廃棄していた汚泥を資源化することで循環型社会の構築に貢献する。</v>
      </c>
      <c r="AN139" s="323"/>
      <c r="AO139" s="323"/>
      <c r="AP139" s="323"/>
      <c r="AQ139" s="323"/>
      <c r="AR139" s="323"/>
      <c r="AS139" s="323"/>
      <c r="AT139" s="323"/>
      <c r="AU139" s="323"/>
      <c r="AV139" s="323"/>
      <c r="AW139" s="323"/>
      <c r="AX139" s="323"/>
      <c r="AY139" s="323"/>
      <c r="AZ139" s="323"/>
      <c r="BA139" s="323"/>
      <c r="BB139" s="323"/>
      <c r="BC139" s="324"/>
      <c r="BD139" s="109"/>
      <c r="BE139" s="109"/>
      <c r="BF139" s="138" t="str">
        <f>IF([4]回答表!F17="下水道事業",IF([4]回答表!X45="●",[4]回答表!B212,IF([4]回答表!AA45="●",[4]回答表!B278,"")),"")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25"/>
      <c r="AN140" s="326"/>
      <c r="AO140" s="326"/>
      <c r="AP140" s="326"/>
      <c r="AQ140" s="326"/>
      <c r="AR140" s="326"/>
      <c r="AS140" s="326"/>
      <c r="AT140" s="326"/>
      <c r="AU140" s="326"/>
      <c r="AV140" s="326"/>
      <c r="AW140" s="326"/>
      <c r="AX140" s="326"/>
      <c r="AY140" s="326"/>
      <c r="AZ140" s="326"/>
      <c r="BA140" s="326"/>
      <c r="BB140" s="326"/>
      <c r="BC140" s="327"/>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xml:space="preserve"> </v>
      </c>
      <c r="V141" s="83"/>
      <c r="W141" s="83"/>
      <c r="X141" s="83"/>
      <c r="Y141" s="83"/>
      <c r="Z141" s="83"/>
      <c r="AA141" s="83"/>
      <c r="AB141" s="153"/>
      <c r="AC141" s="68"/>
      <c r="AD141" s="68"/>
      <c r="AE141" s="68"/>
      <c r="AF141" s="68"/>
      <c r="AG141" s="68"/>
      <c r="AH141" s="68"/>
      <c r="AI141" s="68"/>
      <c r="AJ141" s="68"/>
      <c r="AK141" s="136"/>
      <c r="AL141" s="68"/>
      <c r="AM141" s="325"/>
      <c r="AN141" s="326"/>
      <c r="AO141" s="326"/>
      <c r="AP141" s="326"/>
      <c r="AQ141" s="326"/>
      <c r="AR141" s="326"/>
      <c r="AS141" s="326"/>
      <c r="AT141" s="326"/>
      <c r="AU141" s="326"/>
      <c r="AV141" s="326"/>
      <c r="AW141" s="326"/>
      <c r="AX141" s="326"/>
      <c r="AY141" s="326"/>
      <c r="AZ141" s="326"/>
      <c r="BA141" s="326"/>
      <c r="BB141" s="326"/>
      <c r="BC141" s="327"/>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25"/>
      <c r="AN142" s="326"/>
      <c r="AO142" s="326"/>
      <c r="AP142" s="326"/>
      <c r="AQ142" s="326"/>
      <c r="AR142" s="326"/>
      <c r="AS142" s="326"/>
      <c r="AT142" s="326"/>
      <c r="AU142" s="326"/>
      <c r="AV142" s="326"/>
      <c r="AW142" s="326"/>
      <c r="AX142" s="326"/>
      <c r="AY142" s="326"/>
      <c r="AZ142" s="326"/>
      <c r="BA142" s="326"/>
      <c r="BB142" s="326"/>
      <c r="BC142" s="327"/>
      <c r="BD142" s="109"/>
      <c r="BE142" s="109"/>
      <c r="BF142" s="150">
        <f>IF([4]回答表!F17="下水道事業",IF([4]回答表!X45="●",[4]回答表!E212,IF([4]回答表!AA45="●",[4]回答表!E278,"")),"")</f>
        <v>3</v>
      </c>
      <c r="BG142" s="151"/>
      <c r="BH142" s="151"/>
      <c r="BI142" s="151"/>
      <c r="BJ142" s="150">
        <f>IF([4]回答表!F17="下水道事業",IF([4]回答表!X45="●",[4]回答表!E213,IF([4]回答表!AA45="●",[4]回答表!E279,"")),"")</f>
        <v>4</v>
      </c>
      <c r="BK142" s="151"/>
      <c r="BL142" s="151"/>
      <c r="BM142" s="151"/>
      <c r="BN142" s="150">
        <f>IF([4]回答表!F17="下水道事業",IF([4]回答表!X45="●",[4]回答表!E214,IF([4]回答表!AA45="●",[4]回答表!E280,"")),"")</f>
        <v>1</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25"/>
      <c r="AN143" s="326"/>
      <c r="AO143" s="326"/>
      <c r="AP143" s="326"/>
      <c r="AQ143" s="326"/>
      <c r="AR143" s="326"/>
      <c r="AS143" s="326"/>
      <c r="AT143" s="326"/>
      <c r="AU143" s="326"/>
      <c r="AV143" s="326"/>
      <c r="AW143" s="326"/>
      <c r="AX143" s="326"/>
      <c r="AY143" s="326"/>
      <c r="AZ143" s="326"/>
      <c r="BA143" s="326"/>
      <c r="BB143" s="326"/>
      <c r="BC143" s="327"/>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25"/>
      <c r="AN144" s="326"/>
      <c r="AO144" s="326"/>
      <c r="AP144" s="326"/>
      <c r="AQ144" s="326"/>
      <c r="AR144" s="326"/>
      <c r="AS144" s="326"/>
      <c r="AT144" s="326"/>
      <c r="AU144" s="326"/>
      <c r="AV144" s="326"/>
      <c r="AW144" s="326"/>
      <c r="AX144" s="326"/>
      <c r="AY144" s="326"/>
      <c r="AZ144" s="326"/>
      <c r="BA144" s="326"/>
      <c r="BB144" s="326"/>
      <c r="BC144" s="327"/>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25"/>
      <c r="AN145" s="326"/>
      <c r="AO145" s="326"/>
      <c r="AP145" s="326"/>
      <c r="AQ145" s="326"/>
      <c r="AR145" s="326"/>
      <c r="AS145" s="326"/>
      <c r="AT145" s="326"/>
      <c r="AU145" s="326"/>
      <c r="AV145" s="326"/>
      <c r="AW145" s="326"/>
      <c r="AX145" s="326"/>
      <c r="AY145" s="326"/>
      <c r="AZ145" s="326"/>
      <c r="BA145" s="326"/>
      <c r="BB145" s="326"/>
      <c r="BC145" s="327"/>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25"/>
      <c r="AN146" s="326"/>
      <c r="AO146" s="326"/>
      <c r="AP146" s="326"/>
      <c r="AQ146" s="326"/>
      <c r="AR146" s="326"/>
      <c r="AS146" s="326"/>
      <c r="AT146" s="326"/>
      <c r="AU146" s="326"/>
      <c r="AV146" s="326"/>
      <c r="AW146" s="326"/>
      <c r="AX146" s="326"/>
      <c r="AY146" s="326"/>
      <c r="AZ146" s="326"/>
      <c r="BA146" s="326"/>
      <c r="BB146" s="326"/>
      <c r="BC146" s="327"/>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xml:space="preserve"> </v>
      </c>
      <c r="V147" s="83"/>
      <c r="W147" s="83"/>
      <c r="X147" s="83"/>
      <c r="Y147" s="83"/>
      <c r="Z147" s="83"/>
      <c r="AA147" s="83"/>
      <c r="AB147" s="153"/>
      <c r="AC147" s="82" t="str">
        <f>IF([4]回答表!F17="下水道事業",IF([4]回答表!X45="●",[4]回答表!Y196,IF([4]回答表!AA45="●",[4]回答表!Y262,"")),"")</f>
        <v xml:space="preserve"> </v>
      </c>
      <c r="AD147" s="83"/>
      <c r="AE147" s="83"/>
      <c r="AF147" s="83"/>
      <c r="AG147" s="83"/>
      <c r="AH147" s="83"/>
      <c r="AI147" s="83"/>
      <c r="AJ147" s="153"/>
      <c r="AK147" s="136"/>
      <c r="AL147" s="109"/>
      <c r="AM147" s="325"/>
      <c r="AN147" s="326"/>
      <c r="AO147" s="326"/>
      <c r="AP147" s="326"/>
      <c r="AQ147" s="326"/>
      <c r="AR147" s="326"/>
      <c r="AS147" s="326"/>
      <c r="AT147" s="326"/>
      <c r="AU147" s="326"/>
      <c r="AV147" s="326"/>
      <c r="AW147" s="326"/>
      <c r="AX147" s="326"/>
      <c r="AY147" s="326"/>
      <c r="AZ147" s="326"/>
      <c r="BA147" s="326"/>
      <c r="BB147" s="326"/>
      <c r="BC147" s="327"/>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28"/>
      <c r="AN148" s="329"/>
      <c r="AO148" s="329"/>
      <c r="AP148" s="329"/>
      <c r="AQ148" s="329"/>
      <c r="AR148" s="329"/>
      <c r="AS148" s="329"/>
      <c r="AT148" s="329"/>
      <c r="AU148" s="329"/>
      <c r="AV148" s="329"/>
      <c r="AW148" s="329"/>
      <c r="AX148" s="329"/>
      <c r="AY148" s="329"/>
      <c r="AZ148" s="329"/>
      <c r="BA148" s="329"/>
      <c r="BB148" s="329"/>
      <c r="BC148" s="330"/>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xml:space="preserve"> </v>
      </c>
      <c r="V153" s="83"/>
      <c r="W153" s="83"/>
      <c r="X153" s="83"/>
      <c r="Y153" s="83"/>
      <c r="Z153" s="83"/>
      <c r="AA153" s="83"/>
      <c r="AB153" s="153"/>
      <c r="AC153" s="82" t="str">
        <f>IF([4]回答表!F17="下水道事業",IF([4]回答表!X45="●",[4]回答表!Y199,IF([4]回答表!AA45="●",[4]回答表!Y265,"")),"")</f>
        <v xml:space="preserve"> </v>
      </c>
      <c r="AD153" s="83"/>
      <c r="AE153" s="83"/>
      <c r="AF153" s="83"/>
      <c r="AG153" s="83"/>
      <c r="AH153" s="83"/>
      <c r="AI153" s="83"/>
      <c r="AJ153" s="153"/>
      <c r="AK153" s="82" t="str">
        <f>IF([4]回答表!F17="下水道事業",IF([4]回答表!X45="●",[4]回答表!Y200,IF([4]回答表!AA45="●",[4]回答表!Y266,"")),"")</f>
        <v xml:space="preserve"> </v>
      </c>
      <c r="AL153" s="83"/>
      <c r="AM153" s="83"/>
      <c r="AN153" s="83"/>
      <c r="AO153" s="83"/>
      <c r="AP153" s="83"/>
      <c r="AQ153" s="83"/>
      <c r="AR153" s="153"/>
      <c r="AS153" s="82" t="str">
        <f>IF([4]回答表!F17="下水道事業",IF([4]回答表!X45="●",[4]回答表!Y201,IF([4]回答表!AA45="●",[4]回答表!Y267,"")),"")</f>
        <v xml:space="preserve"> </v>
      </c>
      <c r="AT153" s="83"/>
      <c r="AU153" s="83"/>
      <c r="AV153" s="83"/>
      <c r="AW153" s="83"/>
      <c r="AX153" s="83"/>
      <c r="AY153" s="83"/>
      <c r="AZ153" s="153"/>
      <c r="BA153" s="82" t="str">
        <f>IF([4]回答表!F17="下水道事業",IF([4]回答表!X45="●",[4]回答表!Y202,IF([4]回答表!AA45="●",[4]回答表!Y268,"")),"")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v>
      </c>
      <c r="V159" s="83"/>
      <c r="W159" s="83"/>
      <c r="X159" s="83"/>
      <c r="Y159" s="83"/>
      <c r="Z159" s="83"/>
      <c r="AA159" s="83"/>
      <c r="AB159" s="153"/>
      <c r="AC159" s="82" t="str">
        <f>IF([4]回答表!F17="下水道事業",IF([4]回答表!X45="●",[4]回答表!Y208,IF([4]回答表!AA45="●",[4]回答表!Y274,"")),"")</f>
        <v xml:space="preserve"> </v>
      </c>
      <c r="AD159" s="83"/>
      <c r="AE159" s="83"/>
      <c r="AF159" s="83"/>
      <c r="AG159" s="83"/>
      <c r="AH159" s="83"/>
      <c r="AI159" s="83"/>
      <c r="AJ159" s="153"/>
      <c r="AK159" s="82" t="str">
        <f>IF([4]回答表!F17="下水道事業",IF([4]回答表!X45="●",[4]回答表!Y209,IF([4]回答表!AA45="●",[4]回答表!Y275,"")),"")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3" priority="2">
      <formula>$BB$25="○"</formula>
    </cfRule>
  </conditionalFormatting>
  <conditionalFormatting sqref="BD28:BD30">
    <cfRule type="expression" dxfId="2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62269-AD64-4602-B3C3-8B8DA8F507FB}">
  <sheetPr>
    <pageSetUpPr fitToPage="1"/>
  </sheetPr>
  <dimension ref="A1:CN315"/>
  <sheetViews>
    <sheetView showZeros="0" view="pageBreakPreview" zoomScale="60" zoomScaleNormal="55" workbookViewId="0">
      <selection activeCell="AM139" sqref="AM139:BC148"/>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IF(COUNTIF([5]回答表!K15,"*")&gt;0,[5]回答表!K15,"")</f>
        <v>大仙市</v>
      </c>
      <c r="D11" s="8"/>
      <c r="E11" s="8"/>
      <c r="F11" s="8"/>
      <c r="G11" s="8"/>
      <c r="H11" s="8"/>
      <c r="I11" s="8"/>
      <c r="J11" s="8"/>
      <c r="K11" s="8"/>
      <c r="L11" s="8"/>
      <c r="M11" s="8"/>
      <c r="N11" s="8"/>
      <c r="O11" s="8"/>
      <c r="P11" s="8"/>
      <c r="Q11" s="8"/>
      <c r="R11" s="8"/>
      <c r="S11" s="8"/>
      <c r="T11" s="8"/>
      <c r="U11" s="22" t="str">
        <f>IF(COUNTIF([5]回答表!F17,"*")&gt;0,[5]回答表!F17,"")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IF(COUNTIF([5]回答表!W17,"*")&gt;0,[5]回答表!W17,"")</f>
        <v>特定環境保全公共下水道</v>
      </c>
      <c r="AP11" s="10"/>
      <c r="AQ11" s="10"/>
      <c r="AR11" s="10"/>
      <c r="AS11" s="10"/>
      <c r="AT11" s="10"/>
      <c r="AU11" s="10"/>
      <c r="AV11" s="10"/>
      <c r="AW11" s="10"/>
      <c r="AX11" s="10"/>
      <c r="AY11" s="10"/>
      <c r="AZ11" s="10"/>
      <c r="BA11" s="10"/>
      <c r="BB11" s="10"/>
      <c r="BC11" s="10"/>
      <c r="BD11" s="10"/>
      <c r="BE11" s="10"/>
      <c r="BF11" s="11"/>
      <c r="BG11" s="21" t="str">
        <f>IF(COUNTIF([5]回答表!F19,"*")&gt;0,[5]回答表!F19,"")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IF([5]回答表!R43="●","●","")</f>
        <v/>
      </c>
      <c r="E24" s="80"/>
      <c r="F24" s="80"/>
      <c r="G24" s="80"/>
      <c r="H24" s="80"/>
      <c r="I24" s="80"/>
      <c r="J24" s="81"/>
      <c r="K24" s="79" t="str">
        <f>IF([5]回答表!R44="●","●","")</f>
        <v/>
      </c>
      <c r="L24" s="80"/>
      <c r="M24" s="80"/>
      <c r="N24" s="80"/>
      <c r="O24" s="80"/>
      <c r="P24" s="80"/>
      <c r="Q24" s="81"/>
      <c r="R24" s="79" t="str">
        <f>IF([5]回答表!R45="●","●","")</f>
        <v>●</v>
      </c>
      <c r="S24" s="80"/>
      <c r="T24" s="80"/>
      <c r="U24" s="80"/>
      <c r="V24" s="80"/>
      <c r="W24" s="80"/>
      <c r="X24" s="81"/>
      <c r="Y24" s="79" t="str">
        <f>IF([5]回答表!R46="●","●","")</f>
        <v/>
      </c>
      <c r="Z24" s="80"/>
      <c r="AA24" s="80"/>
      <c r="AB24" s="80"/>
      <c r="AC24" s="80"/>
      <c r="AD24" s="80"/>
      <c r="AE24" s="81"/>
      <c r="AF24" s="79" t="str">
        <f>IF([5]回答表!R47="●","●","")</f>
        <v/>
      </c>
      <c r="AG24" s="80"/>
      <c r="AH24" s="80"/>
      <c r="AI24" s="80"/>
      <c r="AJ24" s="80"/>
      <c r="AK24" s="80"/>
      <c r="AL24" s="81"/>
      <c r="AM24" s="79" t="str">
        <f>IF([5]回答表!R48="●","●","")</f>
        <v/>
      </c>
      <c r="AN24" s="80"/>
      <c r="AO24" s="80"/>
      <c r="AP24" s="80"/>
      <c r="AQ24" s="80"/>
      <c r="AR24" s="80"/>
      <c r="AS24" s="81"/>
      <c r="AT24" s="79" t="str">
        <f>IF([5]回答表!R49="●","●","")</f>
        <v/>
      </c>
      <c r="AU24" s="80"/>
      <c r="AV24" s="80"/>
      <c r="AW24" s="80"/>
      <c r="AX24" s="80"/>
      <c r="AY24" s="80"/>
      <c r="AZ24" s="81"/>
      <c r="BA24" s="68"/>
      <c r="BB24" s="82" t="str">
        <f>IF([5]回答表!R50="●","●","")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IF([5]回答表!X43="●","●","")</f>
        <v/>
      </c>
      <c r="O36" s="131"/>
      <c r="P36" s="131"/>
      <c r="Q36" s="132"/>
      <c r="R36" s="119"/>
      <c r="S36" s="119"/>
      <c r="T36" s="119"/>
      <c r="U36" s="133" t="str">
        <f>IF([5]回答表!X43="●",[5]回答表!B59,IF([5]回答表!AA43="●",[5]回答表!B79,""))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IF([5]回答表!X43="●",[5]回答表!S65,IF([5]回答表!AA43="●",[5]回答表!S85,""))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IF([5]回答表!X43="●",[5]回答表!G65,IF([5]回答表!AA43="●",[5]回答表!G85,""))</f>
        <v/>
      </c>
      <c r="AN38" s="83"/>
      <c r="AO38" s="83"/>
      <c r="AP38" s="83"/>
      <c r="AQ38" s="83"/>
      <c r="AR38" s="83"/>
      <c r="AS38" s="83"/>
      <c r="AT38" s="153"/>
      <c r="AU38" s="82" t="str">
        <f>IF([5]回答表!X43="●",[5]回答表!G66,IF([5]回答表!AA43="●",[5]回答表!G86,""))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IF([5]回答表!X43="●",[5]回答表!V65,IF([5]回答表!AA43="●",[5]回答表!V85,""))</f>
        <v/>
      </c>
      <c r="BG39" s="16"/>
      <c r="BH39" s="16"/>
      <c r="BI39" s="17"/>
      <c r="BJ39" s="150" t="str">
        <f>IF([5]回答表!X43="●",[5]回答表!V66,IF([5]回答表!AA43="●",[5]回答表!V86,""))</f>
        <v/>
      </c>
      <c r="BK39" s="16"/>
      <c r="BL39" s="16"/>
      <c r="BM39" s="17"/>
      <c r="BN39" s="150" t="str">
        <f>IF([5]回答表!X43="●",[5]回答表!V67,IF([5]回答表!AA43="●",[5]回答表!V87,""))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IF([5]回答表!X43="●",[5]回答表!O71,IF([5]回答表!AA43="●",[5]回答表!O91,""))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IF([5]回答表!X43="●",[5]回答表!O72,IF([5]回答表!AA43="●",[5]回答表!O92,""))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IF([5]回答表!AA43="●","●","")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IF([5]回答表!X43="●",[5]回答表!O73,IF([5]回答表!AA43="●",[5]回答表!O93,""))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IF([5]回答表!X43="●",[5]回答表!O74,IF([5]回答表!AA43="●",[5]回答表!O94,""))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IF([5]回答表!X43="●",[5]回答表!AG71,IF([5]回答表!AA43="●",[5]回答表!AG91,""))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IF([5]回答表!X43="●",[5]回答表!AG72,IF([5]回答表!AA43="●",[5]回答表!AG92,""))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IF([5]回答表!AD43="●","●","")</f>
        <v/>
      </c>
      <c r="O51" s="131"/>
      <c r="P51" s="131"/>
      <c r="Q51" s="132"/>
      <c r="R51" s="119"/>
      <c r="S51" s="119"/>
      <c r="T51" s="119"/>
      <c r="U51" s="133" t="str">
        <f>IF([5]回答表!AD43="●",[5]回答表!B99,"")</f>
        <v/>
      </c>
      <c r="V51" s="134"/>
      <c r="W51" s="134"/>
      <c r="X51" s="134"/>
      <c r="Y51" s="134"/>
      <c r="Z51" s="134"/>
      <c r="AA51" s="134"/>
      <c r="AB51" s="134"/>
      <c r="AC51" s="134"/>
      <c r="AD51" s="134"/>
      <c r="AE51" s="134"/>
      <c r="AF51" s="134"/>
      <c r="AG51" s="134"/>
      <c r="AH51" s="134"/>
      <c r="AI51" s="134"/>
      <c r="AJ51" s="135"/>
      <c r="AK51" s="183"/>
      <c r="AL51" s="183"/>
      <c r="AM51" s="133" t="str">
        <f>IF([5]回答表!AD43="●",[5]回答表!B104,"")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IF([5]回答表!X44="●","●","")</f>
        <v/>
      </c>
      <c r="O62" s="131"/>
      <c r="P62" s="131"/>
      <c r="Q62" s="132"/>
      <c r="R62" s="119"/>
      <c r="S62" s="119"/>
      <c r="T62" s="119"/>
      <c r="U62" s="133" t="str">
        <f>IF([5]回答表!X44="●",[5]回答表!B115,IF([5]回答表!AA44="●",[5]回答表!B127,""))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IF([5]回答表!X44="●",[5]回答表!S121,IF([5]回答表!AA44="●",[5]回答表!S133,""))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IF([5]回答表!X44="●",[5]回答表!J121,IF([5]回答表!AA44="●",[5]回答表!J133,""))</f>
        <v/>
      </c>
      <c r="AN65" s="83"/>
      <c r="AO65" s="83"/>
      <c r="AP65" s="83"/>
      <c r="AQ65" s="83"/>
      <c r="AR65" s="83"/>
      <c r="AS65" s="83"/>
      <c r="AT65" s="153"/>
      <c r="AU65" s="82" t="str">
        <f>IF([5]回答表!X44="●",[5]回答表!J122,IF([5]回答表!AA44="●",[5]回答表!J134,""))</f>
        <v/>
      </c>
      <c r="AV65" s="83"/>
      <c r="AW65" s="83"/>
      <c r="AX65" s="83"/>
      <c r="AY65" s="83"/>
      <c r="AZ65" s="83"/>
      <c r="BA65" s="83"/>
      <c r="BB65" s="153"/>
      <c r="BC65" s="120"/>
      <c r="BD65" s="109"/>
      <c r="BE65" s="109"/>
      <c r="BF65" s="150" t="str">
        <f>IF([5]回答表!X44="●",[5]回答表!V121,IF([5]回答表!AA44="●",[5]回答表!V133,""))</f>
        <v/>
      </c>
      <c r="BG65" s="151"/>
      <c r="BH65" s="151"/>
      <c r="BI65" s="151"/>
      <c r="BJ65" s="150" t="str">
        <f>IF([5]回答表!X44="●",[5]回答表!V122,IF([5]回答表!AA44="●",[5]回答表!V134,""))</f>
        <v/>
      </c>
      <c r="BK65" s="151"/>
      <c r="BL65" s="151"/>
      <c r="BM65" s="151"/>
      <c r="BN65" s="150" t="str">
        <f>IF([5]回答表!X44="●",[5]回答表!V123,IF([5]回答表!AA44="●",[5]回答表!V135,""))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IF([5]回答表!AA44="●","●","")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IF([5]回答表!AD44="●","●","")</f>
        <v/>
      </c>
      <c r="O74" s="131"/>
      <c r="P74" s="131"/>
      <c r="Q74" s="132"/>
      <c r="R74" s="119"/>
      <c r="S74" s="119"/>
      <c r="T74" s="119"/>
      <c r="U74" s="133" t="str">
        <f>IF([5]回答表!AD44="●",[5]回答表!B140,"")</f>
        <v/>
      </c>
      <c r="V74" s="134"/>
      <c r="W74" s="134"/>
      <c r="X74" s="134"/>
      <c r="Y74" s="134"/>
      <c r="Z74" s="134"/>
      <c r="AA74" s="134"/>
      <c r="AB74" s="134"/>
      <c r="AC74" s="134"/>
      <c r="AD74" s="134"/>
      <c r="AE74" s="134"/>
      <c r="AF74" s="134"/>
      <c r="AG74" s="134"/>
      <c r="AH74" s="134"/>
      <c r="AI74" s="134"/>
      <c r="AJ74" s="135"/>
      <c r="AK74" s="183"/>
      <c r="AL74" s="183"/>
      <c r="AM74" s="133" t="str">
        <f>IF([5]回答表!AD44="●",[5]回答表!B146,"")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IF([5]回答表!F17="水道事業",IF([5]回答表!X45="●","●",""),"")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IF([5]回答表!F17="水道事業",IF([5]回答表!X45="●",[5]回答表!B158,IF([5]回答表!AA45="●",[5]回答表!B223,"")),"")</f>
        <v/>
      </c>
      <c r="AN86" s="201"/>
      <c r="AO86" s="201"/>
      <c r="AP86" s="201"/>
      <c r="AQ86" s="201"/>
      <c r="AR86" s="201"/>
      <c r="AS86" s="201"/>
      <c r="AT86" s="201"/>
      <c r="AU86" s="201"/>
      <c r="AV86" s="201"/>
      <c r="AW86" s="201"/>
      <c r="AX86" s="201"/>
      <c r="AY86" s="201"/>
      <c r="AZ86" s="201"/>
      <c r="BA86" s="201"/>
      <c r="BB86" s="201"/>
      <c r="BC86" s="202"/>
      <c r="BD86" s="109"/>
      <c r="BE86" s="109"/>
      <c r="BF86" s="138" t="str">
        <f>IF([5]回答表!F17="水道事業",IF([5]回答表!X45="●",[5]回答表!B212,IF([5]回答表!AA45="●",[5]回答表!B278,"")),"")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IF([5]回答表!F17="水道事業",IF([5]回答表!X45="●",[5]回答表!J166,IF([5]回答表!AA45="●",[5]回答表!J231,"")),"")</f>
        <v/>
      </c>
      <c r="V88" s="83"/>
      <c r="W88" s="83"/>
      <c r="X88" s="83"/>
      <c r="Y88" s="83"/>
      <c r="Z88" s="83"/>
      <c r="AA88" s="83"/>
      <c r="AB88" s="153"/>
      <c r="AC88" s="82" t="str">
        <f>IF([5]回答表!F17="水道事業",IF([5]回答表!X45="●",[5]回答表!J173,IF([5]回答表!AA45="●",[5]回答表!J238,"")),"")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IF([5]回答表!F17="水道事業",IF([5]回答表!X45="●",[5]回答表!E212,IF([5]回答表!AA45="●",[5]回答表!E278,"")),"")</f>
        <v/>
      </c>
      <c r="BG89" s="151"/>
      <c r="BH89" s="151"/>
      <c r="BI89" s="151"/>
      <c r="BJ89" s="150" t="str">
        <f>IF([5]回答表!F17="水道事業",IF([5]回答表!X45="●",[5]回答表!E213,IF([5]回答表!AA45="●",[5]回答表!E279,"")),"")</f>
        <v/>
      </c>
      <c r="BK89" s="151"/>
      <c r="BL89" s="151"/>
      <c r="BM89" s="151"/>
      <c r="BN89" s="150" t="str">
        <f>IF([5]回答表!F17="水道事業",IF([5]回答表!X45="●",[5]回答表!E214,IF([5]回答表!AA45="●",[5]回答表!E280,"")),"")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IF([5]回答表!F17="水道事業",IF([5]回答表!AA45="●","●",""),"")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IF([5]回答表!F17="水道事業",IF([5]回答表!X45="●",[5]回答表!J176,IF([5]回答表!AA45="●",[5]回答表!J241,"")),"")</f>
        <v/>
      </c>
      <c r="V93" s="83"/>
      <c r="W93" s="83"/>
      <c r="X93" s="83"/>
      <c r="Y93" s="83"/>
      <c r="Z93" s="83"/>
      <c r="AA93" s="83"/>
      <c r="AB93" s="153"/>
      <c r="AC93" s="82" t="str">
        <f>IF([5]回答表!F17="水道事業",IF([5]回答表!X45="●",[5]回答表!J180,IF([5]回答表!AA45="●",[5]回答表!J245,"")),"")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IF([5]回答表!F17="水道事業",IF([5]回答表!AD45="○","○",""),"")</f>
        <v/>
      </c>
      <c r="O98" s="131"/>
      <c r="P98" s="131"/>
      <c r="Q98" s="132"/>
      <c r="R98" s="119"/>
      <c r="S98" s="119"/>
      <c r="T98" s="119"/>
      <c r="U98" s="133" t="str">
        <f>IF([5]回答表!F17="水道事業",IF([5]回答表!AD45="●",[5]回答表!B289,""),"")</f>
        <v/>
      </c>
      <c r="V98" s="134"/>
      <c r="W98" s="134"/>
      <c r="X98" s="134"/>
      <c r="Y98" s="134"/>
      <c r="Z98" s="134"/>
      <c r="AA98" s="134"/>
      <c r="AB98" s="134"/>
      <c r="AC98" s="134"/>
      <c r="AD98" s="134"/>
      <c r="AE98" s="134"/>
      <c r="AF98" s="134"/>
      <c r="AG98" s="134"/>
      <c r="AH98" s="134"/>
      <c r="AI98" s="134"/>
      <c r="AJ98" s="135"/>
      <c r="AK98" s="183"/>
      <c r="AL98" s="183"/>
      <c r="AM98" s="133" t="str">
        <f>IF([5]回答表!F17="水道事業",IF([5]回答表!AD45="●",[5]回答表!B295,""),"")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IF([5]回答表!F17="簡易水道事業",IF([5]回答表!X45="●",[5]回答表!B158,IF([5]回答表!AA45="●",[5]回答表!B223,"")),"")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IF([5]回答表!F17="簡易水道事業",IF([5]回答表!X45="●",[5]回答表!B212,IF([5]回答表!AA45="●",[5]回答表!B278,"")),"")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IF([5]回答表!F17="簡易水道事業",IF([5]回答表!X45="●","●",""),"")</f>
        <v/>
      </c>
      <c r="O112" s="131"/>
      <c r="P112" s="131"/>
      <c r="Q112" s="132"/>
      <c r="R112" s="119"/>
      <c r="S112" s="119"/>
      <c r="T112" s="119"/>
      <c r="U112" s="82" t="str">
        <f>IF([5]回答表!F17="簡易水道事業",IF([5]回答表!X45="●",[5]回答表!Y185,IF([5]回答表!AA45="●",[5]回答表!Y251,"")),"")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IF([5]回答表!F17="簡易水道事業",IF([5]回答表!X45="●",[5]回答表!E212,IF([5]回答表!AA45="●",[5]回答表!E278,"")),"")</f>
        <v/>
      </c>
      <c r="BG113" s="151"/>
      <c r="BH113" s="151"/>
      <c r="BI113" s="151"/>
      <c r="BJ113" s="150" t="str">
        <f>IF([5]回答表!F17="簡易水道事業",IF([5]回答表!X45="●",[5]回答表!E213,IF([5]回答表!AA45="●",[5]回答表!E279,"")),"")</f>
        <v/>
      </c>
      <c r="BK113" s="151"/>
      <c r="BL113" s="151"/>
      <c r="BM113" s="151"/>
      <c r="BN113" s="150" t="str">
        <f>IF([5]回答表!F17="簡易水道事業",IF([5]回答表!X45="●",[5]回答表!E214,IF([5]回答表!AA45="●",[5]回答表!E280,"")),"")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IF([5]回答表!F17="簡易水道事業",IF([5]回答表!X45="●",[5]回答表!Y186,IF([5]回答表!AA45="●",[5]回答表!Y252,"")),"")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IF([5]回答表!F17="簡易水道事業",IF([5]回答表!AA45="●","●",""),"")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IF([5]回答表!F17="簡易水道事業",IF([5]回答表!X45="●",[5]回答表!Y187,IF([5]回答表!AA45="●",[5]回答表!Y253,"")),"")</f>
        <v/>
      </c>
      <c r="V122" s="83"/>
      <c r="W122" s="83"/>
      <c r="X122" s="83"/>
      <c r="Y122" s="83"/>
      <c r="Z122" s="83"/>
      <c r="AA122" s="83"/>
      <c r="AB122" s="83"/>
      <c r="AC122" s="83"/>
      <c r="AD122" s="83"/>
      <c r="AE122" s="83"/>
      <c r="AF122" s="83"/>
      <c r="AG122" s="83"/>
      <c r="AH122" s="83"/>
      <c r="AI122" s="83"/>
      <c r="AJ122" s="153"/>
      <c r="AK122" s="68"/>
      <c r="AL122" s="68"/>
      <c r="AM122" s="233" t="str">
        <f>IF([5]回答表!F17="簡易水道事業",IF([5]回答表!X45="●",[5]回答表!Y189,IF([5]回答表!AA45="●",[5]回答表!Y255,"")),"")</f>
        <v/>
      </c>
      <c r="AN122" s="233"/>
      <c r="AO122" s="233"/>
      <c r="AP122" s="233"/>
      <c r="AQ122" s="233"/>
      <c r="AR122" s="233"/>
      <c r="AS122" s="233" t="str">
        <f>IF([5]回答表!F17="簡易水道事業",IF([5]回答表!X45="●",[5]回答表!Y190,IF([5]回答表!AA45="●",[5]回答表!Y256,"")),"")</f>
        <v/>
      </c>
      <c r="AT122" s="233"/>
      <c r="AU122" s="233"/>
      <c r="AV122" s="233"/>
      <c r="AW122" s="233"/>
      <c r="AX122" s="233"/>
      <c r="AY122" s="233" t="str">
        <f>IF([5]回答表!F17="簡易水道事業",IF([5]回答表!X45="●",[5]回答表!Y191,IF([5]回答表!AA45="●",[5]回答表!Y257,"")),"")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IF([5]回答表!F17="簡易水道事業",IF([5]回答表!AD45="●","●",""),"")</f>
        <v/>
      </c>
      <c r="O127" s="131"/>
      <c r="P127" s="131"/>
      <c r="Q127" s="132"/>
      <c r="R127" s="119"/>
      <c r="S127" s="119"/>
      <c r="T127" s="119"/>
      <c r="U127" s="133" t="str">
        <f>IF([5]回答表!F17="簡易水道事業",IF([5]回答表!AD45="●",[5]回答表!B289,""),"")</f>
        <v/>
      </c>
      <c r="V127" s="134"/>
      <c r="W127" s="134"/>
      <c r="X127" s="134"/>
      <c r="Y127" s="134"/>
      <c r="Z127" s="134"/>
      <c r="AA127" s="134"/>
      <c r="AB127" s="134"/>
      <c r="AC127" s="134"/>
      <c r="AD127" s="134"/>
      <c r="AE127" s="134"/>
      <c r="AF127" s="134"/>
      <c r="AG127" s="134"/>
      <c r="AH127" s="134"/>
      <c r="AI127" s="134"/>
      <c r="AJ127" s="135"/>
      <c r="AK127" s="183"/>
      <c r="AL127" s="183"/>
      <c r="AM127" s="133" t="str">
        <f>IF([5]回答表!F17="簡易水道事業",IF([5]回答表!AD45="●",[5]回答表!B295,""),"")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IF([5]回答表!F17="下水道事業",IF([5]回答表!X45="●","●",""),"")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322" t="str">
        <f>IF([5]回答表!F17="下水道事業",IF([5]回答表!X45="●",[5]回答表!B158,IF([5]回答表!AA45="●",[5]回答表!B223,"")),"")</f>
        <v>各自治体が個別に行っていた汚泥処理を県の流域下水道を核に広域化・共同化し県南を１単位とした広域集約処理することにより、コストを縮減し将来への負担を軽減する。
　廃棄していた汚泥を資源化することで循環型社会の構築に貢献する。</v>
      </c>
      <c r="AN139" s="323"/>
      <c r="AO139" s="323"/>
      <c r="AP139" s="323"/>
      <c r="AQ139" s="323"/>
      <c r="AR139" s="323"/>
      <c r="AS139" s="323"/>
      <c r="AT139" s="323"/>
      <c r="AU139" s="323"/>
      <c r="AV139" s="323"/>
      <c r="AW139" s="323"/>
      <c r="AX139" s="323"/>
      <c r="AY139" s="323"/>
      <c r="AZ139" s="323"/>
      <c r="BA139" s="323"/>
      <c r="BB139" s="323"/>
      <c r="BC139" s="324"/>
      <c r="BD139" s="109"/>
      <c r="BE139" s="109"/>
      <c r="BF139" s="138" t="str">
        <f>IF([5]回答表!F17="下水道事業",IF([5]回答表!X45="●",[5]回答表!B212,IF([5]回答表!AA45="●",[5]回答表!B278,"")),"")</f>
        <v>令和</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325"/>
      <c r="AN140" s="326"/>
      <c r="AO140" s="326"/>
      <c r="AP140" s="326"/>
      <c r="AQ140" s="326"/>
      <c r="AR140" s="326"/>
      <c r="AS140" s="326"/>
      <c r="AT140" s="326"/>
      <c r="AU140" s="326"/>
      <c r="AV140" s="326"/>
      <c r="AW140" s="326"/>
      <c r="AX140" s="326"/>
      <c r="AY140" s="326"/>
      <c r="AZ140" s="326"/>
      <c r="BA140" s="326"/>
      <c r="BB140" s="326"/>
      <c r="BC140" s="327"/>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IF([5]回答表!F17="下水道事業",IF([5]回答表!X45="●",[5]回答表!Y193,IF([5]回答表!AA45="●",[5]回答表!Y259,"")),"")</f>
        <v xml:space="preserve"> </v>
      </c>
      <c r="V141" s="83"/>
      <c r="W141" s="83"/>
      <c r="X141" s="83"/>
      <c r="Y141" s="83"/>
      <c r="Z141" s="83"/>
      <c r="AA141" s="83"/>
      <c r="AB141" s="153"/>
      <c r="AC141" s="68"/>
      <c r="AD141" s="68"/>
      <c r="AE141" s="68"/>
      <c r="AF141" s="68"/>
      <c r="AG141" s="68"/>
      <c r="AH141" s="68"/>
      <c r="AI141" s="68"/>
      <c r="AJ141" s="68"/>
      <c r="AK141" s="136"/>
      <c r="AL141" s="68"/>
      <c r="AM141" s="325"/>
      <c r="AN141" s="326"/>
      <c r="AO141" s="326"/>
      <c r="AP141" s="326"/>
      <c r="AQ141" s="326"/>
      <c r="AR141" s="326"/>
      <c r="AS141" s="326"/>
      <c r="AT141" s="326"/>
      <c r="AU141" s="326"/>
      <c r="AV141" s="326"/>
      <c r="AW141" s="326"/>
      <c r="AX141" s="326"/>
      <c r="AY141" s="326"/>
      <c r="AZ141" s="326"/>
      <c r="BA141" s="326"/>
      <c r="BB141" s="326"/>
      <c r="BC141" s="327"/>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325"/>
      <c r="AN142" s="326"/>
      <c r="AO142" s="326"/>
      <c r="AP142" s="326"/>
      <c r="AQ142" s="326"/>
      <c r="AR142" s="326"/>
      <c r="AS142" s="326"/>
      <c r="AT142" s="326"/>
      <c r="AU142" s="326"/>
      <c r="AV142" s="326"/>
      <c r="AW142" s="326"/>
      <c r="AX142" s="326"/>
      <c r="AY142" s="326"/>
      <c r="AZ142" s="326"/>
      <c r="BA142" s="326"/>
      <c r="BB142" s="326"/>
      <c r="BC142" s="327"/>
      <c r="BD142" s="109"/>
      <c r="BE142" s="109"/>
      <c r="BF142" s="150">
        <f>IF([5]回答表!F17="下水道事業",IF([5]回答表!X45="●",[5]回答表!E212,IF([5]回答表!AA45="●",[5]回答表!E278,"")),"")</f>
        <v>3</v>
      </c>
      <c r="BG142" s="151"/>
      <c r="BH142" s="151"/>
      <c r="BI142" s="151"/>
      <c r="BJ142" s="150">
        <f>IF([5]回答表!F17="下水道事業",IF([5]回答表!X45="●",[5]回答表!E213,IF([5]回答表!AA45="●",[5]回答表!E279,"")),"")</f>
        <v>4</v>
      </c>
      <c r="BK142" s="151"/>
      <c r="BL142" s="151"/>
      <c r="BM142" s="151"/>
      <c r="BN142" s="150">
        <f>IF([5]回答表!F17="下水道事業",IF([5]回答表!X45="●",[5]回答表!E214,IF([5]回答表!AA45="●",[5]回答表!E280,"")),"")</f>
        <v>1</v>
      </c>
      <c r="BO142" s="151"/>
      <c r="BP142" s="151"/>
      <c r="BQ142" s="152"/>
      <c r="BR142" s="112"/>
      <c r="BX142" s="200" t="str">
        <f>IF([5]回答表!AQ20="下水道事業",IF([5]回答表!BI48="○",[5]回答表!AM161,IF([5]回答表!BL48="○",[5]回答表!AM226,"")),"")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325"/>
      <c r="AN143" s="326"/>
      <c r="AO143" s="326"/>
      <c r="AP143" s="326"/>
      <c r="AQ143" s="326"/>
      <c r="AR143" s="326"/>
      <c r="AS143" s="326"/>
      <c r="AT143" s="326"/>
      <c r="AU143" s="326"/>
      <c r="AV143" s="326"/>
      <c r="AW143" s="326"/>
      <c r="AX143" s="326"/>
      <c r="AY143" s="326"/>
      <c r="AZ143" s="326"/>
      <c r="BA143" s="326"/>
      <c r="BB143" s="326"/>
      <c r="BC143" s="327"/>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325"/>
      <c r="AN144" s="326"/>
      <c r="AO144" s="326"/>
      <c r="AP144" s="326"/>
      <c r="AQ144" s="326"/>
      <c r="AR144" s="326"/>
      <c r="AS144" s="326"/>
      <c r="AT144" s="326"/>
      <c r="AU144" s="326"/>
      <c r="AV144" s="326"/>
      <c r="AW144" s="326"/>
      <c r="AX144" s="326"/>
      <c r="AY144" s="326"/>
      <c r="AZ144" s="326"/>
      <c r="BA144" s="326"/>
      <c r="BB144" s="326"/>
      <c r="BC144" s="327"/>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325"/>
      <c r="AN145" s="326"/>
      <c r="AO145" s="326"/>
      <c r="AP145" s="326"/>
      <c r="AQ145" s="326"/>
      <c r="AR145" s="326"/>
      <c r="AS145" s="326"/>
      <c r="AT145" s="326"/>
      <c r="AU145" s="326"/>
      <c r="AV145" s="326"/>
      <c r="AW145" s="326"/>
      <c r="AX145" s="326"/>
      <c r="AY145" s="326"/>
      <c r="AZ145" s="326"/>
      <c r="BA145" s="326"/>
      <c r="BB145" s="326"/>
      <c r="BC145" s="327"/>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325"/>
      <c r="AN146" s="326"/>
      <c r="AO146" s="326"/>
      <c r="AP146" s="326"/>
      <c r="AQ146" s="326"/>
      <c r="AR146" s="326"/>
      <c r="AS146" s="326"/>
      <c r="AT146" s="326"/>
      <c r="AU146" s="326"/>
      <c r="AV146" s="326"/>
      <c r="AW146" s="326"/>
      <c r="AX146" s="326"/>
      <c r="AY146" s="326"/>
      <c r="AZ146" s="326"/>
      <c r="BA146" s="326"/>
      <c r="BB146" s="326"/>
      <c r="BC146" s="327"/>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IF([5]回答表!F17="下水道事業",IF([5]回答表!X45="●",[5]回答表!Y195,IF([5]回答表!AA45="●",[5]回答表!Y261,"")),"")</f>
        <v xml:space="preserve"> </v>
      </c>
      <c r="V147" s="83"/>
      <c r="W147" s="83"/>
      <c r="X147" s="83"/>
      <c r="Y147" s="83"/>
      <c r="Z147" s="83"/>
      <c r="AA147" s="83"/>
      <c r="AB147" s="153"/>
      <c r="AC147" s="82" t="str">
        <f>IF([5]回答表!F17="下水道事業",IF([5]回答表!X45="●",[5]回答表!Y196,IF([5]回答表!AA45="●",[5]回答表!Y262,"")),"")</f>
        <v xml:space="preserve"> </v>
      </c>
      <c r="AD147" s="83"/>
      <c r="AE147" s="83"/>
      <c r="AF147" s="83"/>
      <c r="AG147" s="83"/>
      <c r="AH147" s="83"/>
      <c r="AI147" s="83"/>
      <c r="AJ147" s="153"/>
      <c r="AK147" s="136"/>
      <c r="AL147" s="109"/>
      <c r="AM147" s="325"/>
      <c r="AN147" s="326"/>
      <c r="AO147" s="326"/>
      <c r="AP147" s="326"/>
      <c r="AQ147" s="326"/>
      <c r="AR147" s="326"/>
      <c r="AS147" s="326"/>
      <c r="AT147" s="326"/>
      <c r="AU147" s="326"/>
      <c r="AV147" s="326"/>
      <c r="AW147" s="326"/>
      <c r="AX147" s="326"/>
      <c r="AY147" s="326"/>
      <c r="AZ147" s="326"/>
      <c r="BA147" s="326"/>
      <c r="BB147" s="326"/>
      <c r="BC147" s="327"/>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328"/>
      <c r="AN148" s="329"/>
      <c r="AO148" s="329"/>
      <c r="AP148" s="329"/>
      <c r="AQ148" s="329"/>
      <c r="AR148" s="329"/>
      <c r="AS148" s="329"/>
      <c r="AT148" s="329"/>
      <c r="AU148" s="329"/>
      <c r="AV148" s="329"/>
      <c r="AW148" s="329"/>
      <c r="AX148" s="329"/>
      <c r="AY148" s="329"/>
      <c r="AZ148" s="329"/>
      <c r="BA148" s="329"/>
      <c r="BB148" s="329"/>
      <c r="BC148" s="330"/>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IF([5]回答表!F17="下水道事業",IF([5]回答表!X45="●",[5]回答表!Y198,IF([5]回答表!AA45="●",[5]回答表!Y264,"")),"")</f>
        <v xml:space="preserve"> </v>
      </c>
      <c r="V153" s="83"/>
      <c r="W153" s="83"/>
      <c r="X153" s="83"/>
      <c r="Y153" s="83"/>
      <c r="Z153" s="83"/>
      <c r="AA153" s="83"/>
      <c r="AB153" s="153"/>
      <c r="AC153" s="82" t="str">
        <f>IF([5]回答表!F17="下水道事業",IF([5]回答表!X45="●",[5]回答表!Y199,IF([5]回答表!AA45="●",[5]回答表!Y265,"")),"")</f>
        <v xml:space="preserve"> </v>
      </c>
      <c r="AD153" s="83"/>
      <c r="AE153" s="83"/>
      <c r="AF153" s="83"/>
      <c r="AG153" s="83"/>
      <c r="AH153" s="83"/>
      <c r="AI153" s="83"/>
      <c r="AJ153" s="153"/>
      <c r="AK153" s="82" t="str">
        <f>IF([5]回答表!F17="下水道事業",IF([5]回答表!X45="●",[5]回答表!Y200,IF([5]回答表!AA45="●",[5]回答表!Y266,"")),"")</f>
        <v xml:space="preserve"> </v>
      </c>
      <c r="AL153" s="83"/>
      <c r="AM153" s="83"/>
      <c r="AN153" s="83"/>
      <c r="AO153" s="83"/>
      <c r="AP153" s="83"/>
      <c r="AQ153" s="83"/>
      <c r="AR153" s="153"/>
      <c r="AS153" s="82" t="str">
        <f>IF([5]回答表!F17="下水道事業",IF([5]回答表!X45="●",[5]回答表!Y201,IF([5]回答表!AA45="●",[5]回答表!Y267,"")),"")</f>
        <v xml:space="preserve"> </v>
      </c>
      <c r="AT153" s="83"/>
      <c r="AU153" s="83"/>
      <c r="AV153" s="83"/>
      <c r="AW153" s="83"/>
      <c r="AX153" s="83"/>
      <c r="AY153" s="83"/>
      <c r="AZ153" s="153"/>
      <c r="BA153" s="82" t="str">
        <f>IF([5]回答表!F17="下水道事業",IF([5]回答表!X45="●",[5]回答表!Y202,IF([5]回答表!AA45="●",[5]回答表!Y268,"")),"")</f>
        <v xml:space="preserve">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IF([5]回答表!F17="下水道事業",IF([5]回答表!AA45="●","●",""),"")</f>
        <v>●</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IF([5]回答表!F17="下水道事業",IF([5]回答表!X45="●",[5]回答表!Y207,IF([5]回答表!AA45="●",[5]回答表!Y273,"")),"")</f>
        <v>●</v>
      </c>
      <c r="V159" s="83"/>
      <c r="W159" s="83"/>
      <c r="X159" s="83"/>
      <c r="Y159" s="83"/>
      <c r="Z159" s="83"/>
      <c r="AA159" s="83"/>
      <c r="AB159" s="153"/>
      <c r="AC159" s="82" t="str">
        <f>IF([5]回答表!F17="下水道事業",IF([5]回答表!X45="●",[5]回答表!Y208,IF([5]回答表!AA45="●",[5]回答表!Y274,"")),"")</f>
        <v xml:space="preserve"> </v>
      </c>
      <c r="AD159" s="83"/>
      <c r="AE159" s="83"/>
      <c r="AF159" s="83"/>
      <c r="AG159" s="83"/>
      <c r="AH159" s="83"/>
      <c r="AI159" s="83"/>
      <c r="AJ159" s="153"/>
      <c r="AK159" s="82" t="str">
        <f>IF([5]回答表!F17="下水道事業",IF([5]回答表!X45="●",[5]回答表!Y209,IF([5]回答表!AA45="●",[5]回答表!Y275,"")),"")</f>
        <v xml:space="preserve">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IF([5]回答表!F17="下水道事業",IF([5]回答表!AD45="●","●",""),"")</f>
        <v/>
      </c>
      <c r="O164" s="131"/>
      <c r="P164" s="131"/>
      <c r="Q164" s="132"/>
      <c r="R164" s="119"/>
      <c r="S164" s="119"/>
      <c r="T164" s="119"/>
      <c r="U164" s="133" t="str">
        <f>IF([5]回答表!F17="下水道事業",IF([5]回答表!AD45="●",[5]回答表!B289,""),"")</f>
        <v/>
      </c>
      <c r="V164" s="134"/>
      <c r="W164" s="134"/>
      <c r="X164" s="134"/>
      <c r="Y164" s="134"/>
      <c r="Z164" s="134"/>
      <c r="AA164" s="134"/>
      <c r="AB164" s="134"/>
      <c r="AC164" s="134"/>
      <c r="AD164" s="134"/>
      <c r="AE164" s="134"/>
      <c r="AF164" s="134"/>
      <c r="AG164" s="134"/>
      <c r="AH164" s="134"/>
      <c r="AI164" s="134"/>
      <c r="AJ164" s="135"/>
      <c r="AK164" s="183"/>
      <c r="AL164" s="183"/>
      <c r="AM164" s="133" t="str">
        <f>IF([5]回答表!F17="下水道事業",IF([5]回答表!AD45="●",[5]回答表!B295,""),"")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IF([5]回答表!BD17="●",IF([5]回答表!X45="●","●",""),"")</f>
        <v/>
      </c>
      <c r="O176" s="131"/>
      <c r="P176" s="131"/>
      <c r="Q176" s="132"/>
      <c r="R176" s="119"/>
      <c r="S176" s="119"/>
      <c r="T176" s="119"/>
      <c r="U176" s="133" t="str">
        <f>IF([5]回答表!BD17="●",IF([5]回答表!X45="●",[5]回答表!B158,IF([5]回答表!AA45="●",[5]回答表!B223,"")),"")</f>
        <v/>
      </c>
      <c r="V176" s="134"/>
      <c r="W176" s="134"/>
      <c r="X176" s="134"/>
      <c r="Y176" s="134"/>
      <c r="Z176" s="134"/>
      <c r="AA176" s="134"/>
      <c r="AB176" s="134"/>
      <c r="AC176" s="134"/>
      <c r="AD176" s="134"/>
      <c r="AE176" s="134"/>
      <c r="AF176" s="134"/>
      <c r="AG176" s="134"/>
      <c r="AH176" s="134"/>
      <c r="AI176" s="134"/>
      <c r="AJ176" s="135"/>
      <c r="AK176" s="136"/>
      <c r="AL176" s="136"/>
      <c r="AM176" s="138" t="str">
        <f>IF([5]回答表!BD17="●",IF([5]回答表!X45="●",[5]回答表!B212,IF([5]回答表!AA45="●",[5]回答表!B278,"")),"")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IF([5]回答表!BD17="●",IF([5]回答表!X45="●",[5]回答表!E212,IF([5]回答表!AA45="●",[5]回答表!E278,"")),"")</f>
        <v/>
      </c>
      <c r="AN179" s="151"/>
      <c r="AO179" s="151"/>
      <c r="AP179" s="151"/>
      <c r="AQ179" s="150" t="str">
        <f>IF([5]回答表!BD17="●",IF([5]回答表!X45="●",[5]回答表!E213,IF([5]回答表!AA45="●",[5]回答表!E279,"")),"")</f>
        <v/>
      </c>
      <c r="AR179" s="151"/>
      <c r="AS179" s="151"/>
      <c r="AT179" s="151"/>
      <c r="AU179" s="150" t="str">
        <f>IF([5]回答表!BD17="●",IF([5]回答表!X45="●",[5]回答表!E214,IF([5]回答表!AA45="●",[5]回答表!E280,"")),"")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IF([5]回答表!BD17="●",IF([5]回答表!AA45="●","●",""),"")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IF([5]回答表!BD17="●",IF([5]回答表!AD45="●","●",""),"")</f>
        <v/>
      </c>
      <c r="O188" s="131"/>
      <c r="P188" s="131"/>
      <c r="Q188" s="132"/>
      <c r="R188" s="119"/>
      <c r="S188" s="119"/>
      <c r="T188" s="119"/>
      <c r="U188" s="133" t="str">
        <f>IF([5]回答表!BD17="●",IF([5]回答表!AD45="●",[5]回答表!B289,""),"")</f>
        <v/>
      </c>
      <c r="V188" s="134"/>
      <c r="W188" s="134"/>
      <c r="X188" s="134"/>
      <c r="Y188" s="134"/>
      <c r="Z188" s="134"/>
      <c r="AA188" s="134"/>
      <c r="AB188" s="134"/>
      <c r="AC188" s="134"/>
      <c r="AD188" s="134"/>
      <c r="AE188" s="134"/>
      <c r="AF188" s="134"/>
      <c r="AG188" s="134"/>
      <c r="AH188" s="134"/>
      <c r="AI188" s="134"/>
      <c r="AJ188" s="135"/>
      <c r="AK188" s="183"/>
      <c r="AL188" s="183"/>
      <c r="AM188" s="133" t="str">
        <f>IF([5]回答表!BD17="●",IF([5]回答表!AD45="●",[5]回答表!B295,""),"")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IF([5]回答表!X46="●","●","")</f>
        <v/>
      </c>
      <c r="O200" s="131"/>
      <c r="P200" s="131"/>
      <c r="Q200" s="132"/>
      <c r="R200" s="119"/>
      <c r="S200" s="119"/>
      <c r="T200" s="119"/>
      <c r="U200" s="133" t="str">
        <f>IF([5]回答表!X46="●",[5]回答表!B307,IF([5]回答表!AA46="●",[5]回答表!B324,""))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IF([5]回答表!X46="●",[5]回答表!U313,IF([5]回答表!AA46="●",[5]回答表!U330,""))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IF([5]回答表!X46="●",[5]回答表!G313,IF([5]回答表!AA46="●",[5]回答表!G330,""))</f>
        <v/>
      </c>
      <c r="AN203" s="83"/>
      <c r="AO203" s="83"/>
      <c r="AP203" s="83"/>
      <c r="AQ203" s="83"/>
      <c r="AR203" s="83"/>
      <c r="AS203" s="83"/>
      <c r="AT203" s="153"/>
      <c r="AU203" s="82" t="str">
        <f>IF([5]回答表!X46="●",[5]回答表!G314,IF([5]回答表!AA46="●",[5]回答表!G331,""))</f>
        <v/>
      </c>
      <c r="AV203" s="83"/>
      <c r="AW203" s="83"/>
      <c r="AX203" s="83"/>
      <c r="AY203" s="83"/>
      <c r="AZ203" s="83"/>
      <c r="BA203" s="83"/>
      <c r="BB203" s="153"/>
      <c r="BC203" s="120"/>
      <c r="BD203" s="109"/>
      <c r="BE203" s="109"/>
      <c r="BF203" s="150" t="str">
        <f>IF([5]回答表!X46="●",[5]回答表!X313,IF([5]回答表!AA46="●",[5]回答表!X330,""))</f>
        <v/>
      </c>
      <c r="BG203" s="151"/>
      <c r="BH203" s="151"/>
      <c r="BI203" s="151"/>
      <c r="BJ203" s="150" t="str">
        <f>IF([5]回答表!X46="●",[5]回答表!X314,IF([5]回答表!AA46="●",[5]回答表!X331,""))</f>
        <v/>
      </c>
      <c r="BK203" s="151"/>
      <c r="BL203" s="151"/>
      <c r="BM203" s="152"/>
      <c r="BN203" s="150" t="str">
        <f>IF([5]回答表!X46="●",[5]回答表!X315,IF([5]回答表!AA46="●",[5]回答表!X332,""))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IF([5]回答表!AA46="●","●","")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IF([5]回答表!AD46="●","●","")</f>
        <v/>
      </c>
      <c r="O212" s="131"/>
      <c r="P212" s="131"/>
      <c r="Q212" s="132"/>
      <c r="R212" s="119"/>
      <c r="S212" s="119"/>
      <c r="T212" s="119"/>
      <c r="U212" s="133" t="str">
        <f>IF([5]回答表!AD46="●",[5]回答表!B337,"")</f>
        <v/>
      </c>
      <c r="V212" s="134"/>
      <c r="W212" s="134"/>
      <c r="X212" s="134"/>
      <c r="Y212" s="134"/>
      <c r="Z212" s="134"/>
      <c r="AA212" s="134"/>
      <c r="AB212" s="134"/>
      <c r="AC212" s="134"/>
      <c r="AD212" s="134"/>
      <c r="AE212" s="134"/>
      <c r="AF212" s="134"/>
      <c r="AG212" s="134"/>
      <c r="AH212" s="134"/>
      <c r="AI212" s="134"/>
      <c r="AJ212" s="135"/>
      <c r="AK212" s="259"/>
      <c r="AL212" s="259"/>
      <c r="AM212" s="133" t="str">
        <f>IF([5]回答表!AD46="●",[5]回答表!B343,"")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IF([5]回答表!X47="●","●","")</f>
        <v/>
      </c>
      <c r="O224" s="131"/>
      <c r="P224" s="131"/>
      <c r="Q224" s="132"/>
      <c r="R224" s="119"/>
      <c r="S224" s="119"/>
      <c r="T224" s="119"/>
      <c r="U224" s="133" t="str">
        <f>IF([5]回答表!X47="●",[5]回答表!B356,IF([5]回答表!AA47="●",[5]回答表!B379,""))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IF([5]回答表!X47="●",[5]回答表!B362,"")</f>
        <v/>
      </c>
      <c r="AO224" s="263"/>
      <c r="AP224" s="263"/>
      <c r="AQ224" s="263"/>
      <c r="AR224" s="263"/>
      <c r="AS224" s="263"/>
      <c r="AT224" s="263"/>
      <c r="AU224" s="263"/>
      <c r="AV224" s="263"/>
      <c r="AW224" s="263"/>
      <c r="AX224" s="263"/>
      <c r="AY224" s="263"/>
      <c r="AZ224" s="263"/>
      <c r="BA224" s="263"/>
      <c r="BB224" s="264"/>
      <c r="BC224" s="120"/>
      <c r="BD224" s="109"/>
      <c r="BE224" s="109"/>
      <c r="BF224" s="138" t="str">
        <f>IF([5]回答表!X47="●",[5]回答表!B368,IF([5]回答表!AA47="●",[5]回答表!B385,""))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IF([5]回答表!X47="●",[5]回答表!E368,IF([5]回答表!AA47="●",[5]回答表!E385,""))</f>
        <v/>
      </c>
      <c r="BG227" s="151"/>
      <c r="BH227" s="151"/>
      <c r="BI227" s="151"/>
      <c r="BJ227" s="150" t="str">
        <f>IF([5]回答表!X47="●",[5]回答表!E369,IF([5]回答表!AA47="●",[5]回答表!E386,""))</f>
        <v/>
      </c>
      <c r="BK227" s="151"/>
      <c r="BL227" s="151"/>
      <c r="BM227" s="152"/>
      <c r="BN227" s="150" t="str">
        <f>IF([5]回答表!X47="●",[5]回答表!E370,IF([5]回答表!AA47="●",[5]回答表!E387,""))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IF([5]回答表!AA47="●","●","")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IF([5]回答表!AD47="●","●","")</f>
        <v/>
      </c>
      <c r="O236" s="131"/>
      <c r="P236" s="131"/>
      <c r="Q236" s="132"/>
      <c r="R236" s="119"/>
      <c r="S236" s="119"/>
      <c r="T236" s="119"/>
      <c r="U236" s="133" t="str">
        <f>IF([5]回答表!AD47="●",[5]回答表!B392,"")</f>
        <v/>
      </c>
      <c r="V236" s="134"/>
      <c r="W236" s="134"/>
      <c r="X236" s="134"/>
      <c r="Y236" s="134"/>
      <c r="Z236" s="134"/>
      <c r="AA236" s="134"/>
      <c r="AB236" s="134"/>
      <c r="AC236" s="134"/>
      <c r="AD236" s="134"/>
      <c r="AE236" s="134"/>
      <c r="AF236" s="134"/>
      <c r="AG236" s="134"/>
      <c r="AH236" s="134"/>
      <c r="AI236" s="134"/>
      <c r="AJ236" s="135"/>
      <c r="AK236" s="259"/>
      <c r="AL236" s="259"/>
      <c r="AM236" s="133" t="str">
        <f>IF([5]回答表!AD47="●",[5]回答表!B398,"")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IF([5]回答表!X48="●","●","")</f>
        <v/>
      </c>
      <c r="O248" s="131"/>
      <c r="P248" s="131"/>
      <c r="Q248" s="132"/>
      <c r="R248" s="119"/>
      <c r="S248" s="119"/>
      <c r="T248" s="119"/>
      <c r="U248" s="133" t="str">
        <f>IF([5]回答表!X48="●",[5]回答表!B411,IF([5]回答表!AA48="●",[5]回答表!B425,""))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IF([5]回答表!X48="●",[5]回答表!BC418,IF([5]回答表!AA48="●",[5]回答表!BC432,""))</f>
        <v/>
      </c>
      <c r="AR248" s="272"/>
      <c r="AS248" s="272"/>
      <c r="AT248" s="272"/>
      <c r="AU248" s="273" t="s">
        <v>73</v>
      </c>
      <c r="AV248" s="274"/>
      <c r="AW248" s="274"/>
      <c r="AX248" s="275"/>
      <c r="AY248" s="272" t="str">
        <f>IF([5]回答表!X48="●",[5]回答表!BC423,IF([5]回答表!AA48="●",[5]回答表!BC437,""))</f>
        <v/>
      </c>
      <c r="AZ248" s="272"/>
      <c r="BA248" s="272"/>
      <c r="BB248" s="272"/>
      <c r="BC248" s="120"/>
      <c r="BD248" s="109"/>
      <c r="BE248" s="109"/>
      <c r="BF248" s="138" t="str">
        <f>IF([5]回答表!X48="●",[5]回答表!S417,IF([5]回答表!AA48="●",[5]回答表!S431,""))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IF([5]回答表!X48="●",[5]回答表!BC419,IF([5]回答表!AA48="●",[5]回答表!BC433,""))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IF([5]回答表!X48="●",[5]回答表!V417,IF([5]回答表!AA48="●",[5]回答表!V431,""))</f>
        <v/>
      </c>
      <c r="BG251" s="151"/>
      <c r="BH251" s="151"/>
      <c r="BI251" s="151"/>
      <c r="BJ251" s="150" t="str">
        <f>IF([5]回答表!X48="●",[5]回答表!V418,IF([5]回答表!AA48="●",[5]回答表!V432,""))</f>
        <v/>
      </c>
      <c r="BK251" s="151"/>
      <c r="BL251" s="151"/>
      <c r="BM251" s="152"/>
      <c r="BN251" s="150" t="str">
        <f>IF([5]回答表!X48="●",[5]回答表!V419,IF([5]回答表!AA48="●",[5]回答表!V433,""))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IF([5]回答表!X48="●",[5]回答表!BC420,IF([5]回答表!AA48="●",[5]回答表!BC434,""))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IF([5]回答表!X48="●",[5]回答表!BC424,IF([5]回答表!AA48="●",[5]回答表!BC438,""))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IF([5]回答表!AA48="●","●","")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IF([5]回答表!X48="●",[5]回答表!BC421,IF([5]回答表!AA48="●",[5]回答表!BC435,""))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IF([5]回答表!X48="●",[5]回答表!BC422,IF([5]回答表!AA48="●",[5]回答表!BC436,""))</f>
        <v/>
      </c>
      <c r="AR256" s="272"/>
      <c r="AS256" s="272"/>
      <c r="AT256" s="272"/>
      <c r="AU256" s="224" t="s">
        <v>79</v>
      </c>
      <c r="AV256" s="225"/>
      <c r="AW256" s="225"/>
      <c r="AX256" s="226"/>
      <c r="AY256" s="282" t="str">
        <f>IF([5]回答表!X48="●",[5]回答表!BC425,IF([5]回答表!AA48="●",[5]回答表!BC439,""))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IF([5]回答表!AD48="●","●","")</f>
        <v/>
      </c>
      <c r="O260" s="131"/>
      <c r="P260" s="131"/>
      <c r="Q260" s="132"/>
      <c r="R260" s="119"/>
      <c r="S260" s="119"/>
      <c r="T260" s="119"/>
      <c r="U260" s="133" t="str">
        <f>IF([5]回答表!AD48="●",[5]回答表!B439,"")</f>
        <v/>
      </c>
      <c r="V260" s="134"/>
      <c r="W260" s="134"/>
      <c r="X260" s="134"/>
      <c r="Y260" s="134"/>
      <c r="Z260" s="134"/>
      <c r="AA260" s="134"/>
      <c r="AB260" s="134"/>
      <c r="AC260" s="134"/>
      <c r="AD260" s="134"/>
      <c r="AE260" s="134"/>
      <c r="AF260" s="134"/>
      <c r="AG260" s="134"/>
      <c r="AH260" s="134"/>
      <c r="AI260" s="134"/>
      <c r="AJ260" s="135"/>
      <c r="AK260" s="183"/>
      <c r="AL260" s="183"/>
      <c r="AM260" s="133" t="str">
        <f>IF([5]回答表!AD48="●",[5]回答表!B445,"")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IF([5]回答表!X49="●","●","")</f>
        <v/>
      </c>
      <c r="O271" s="131"/>
      <c r="P271" s="131"/>
      <c r="Q271" s="132"/>
      <c r="R271" s="119"/>
      <c r="S271" s="119"/>
      <c r="T271" s="119"/>
      <c r="U271" s="133" t="str">
        <f>IF([5]回答表!X49="●",[5]回答表!B458,IF([5]回答表!AA49="●",[5]回答表!B475,""))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IF([5]回答表!X49="●",[5]回答表!B468,IF([5]回答表!AA49="●",[5]回答表!B485,""))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IF([5]回答表!X49="●",[5]回答表!G464,IF([5]回答表!AA49="●",[5]回答表!G481,""))</f>
        <v/>
      </c>
      <c r="AN273" s="83"/>
      <c r="AO273" s="83"/>
      <c r="AP273" s="83"/>
      <c r="AQ273" s="83"/>
      <c r="AR273" s="83"/>
      <c r="AS273" s="83"/>
      <c r="AT273" s="153"/>
      <c r="AU273" s="82" t="str">
        <f>IF([5]回答表!X49="●",[5]回答表!G465,IF([5]回答表!AA49="●",[5]回答表!G482,""))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IF([5]回答表!X49="●",[5]回答表!E468,IF([5]回答表!AA49="●",[5]回答表!E485,""))</f>
        <v/>
      </c>
      <c r="BG274" s="151"/>
      <c r="BH274" s="151"/>
      <c r="BI274" s="151"/>
      <c r="BJ274" s="150" t="str">
        <f>IF([5]回答表!X49="●",[5]回答表!E469,IF([5]回答表!AA49="●",[5]回答表!E486,""))</f>
        <v/>
      </c>
      <c r="BK274" s="151"/>
      <c r="BL274" s="151"/>
      <c r="BM274" s="152"/>
      <c r="BN274" s="150" t="str">
        <f>IF([5]回答表!X49="●",[5]回答表!E470,IF([5]回答表!AA49="●",[5]回答表!E487,""))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IF([5]回答表!AA49="●","●","")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IF([5]回答表!AD49="●","●","")</f>
        <v/>
      </c>
      <c r="O283" s="131"/>
      <c r="P283" s="131"/>
      <c r="Q283" s="132"/>
      <c r="R283" s="119"/>
      <c r="S283" s="119"/>
      <c r="T283" s="119"/>
      <c r="U283" s="133" t="str">
        <f>IF([5]回答表!AD49="●",[5]回答表!B492,"")</f>
        <v/>
      </c>
      <c r="V283" s="134"/>
      <c r="W283" s="134"/>
      <c r="X283" s="134"/>
      <c r="Y283" s="134"/>
      <c r="Z283" s="134"/>
      <c r="AA283" s="134"/>
      <c r="AB283" s="134"/>
      <c r="AC283" s="134"/>
      <c r="AD283" s="134"/>
      <c r="AE283" s="134"/>
      <c r="AF283" s="134"/>
      <c r="AG283" s="134"/>
      <c r="AH283" s="134"/>
      <c r="AI283" s="134"/>
      <c r="AJ283" s="135"/>
      <c r="AK283" s="136"/>
      <c r="AL283" s="136"/>
      <c r="AM283" s="133" t="str">
        <f>IF([5]回答表!AD49="●",[5]回答表!B498,"")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IF([5]回答表!R50="●",[5]回答表!B511,"")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21" priority="2">
      <formula>$BB$25="○"</formula>
    </cfRule>
  </conditionalFormatting>
  <conditionalFormatting sqref="BD28:BD30">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0A456-FAD1-4D3A-8D67-10DB99948193}">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IF(COUNTIF([6]回答表!K15,"*")&gt;0,[6]回答表!K15,"")</f>
        <v>大仙市</v>
      </c>
      <c r="D11" s="8"/>
      <c r="E11" s="8"/>
      <c r="F11" s="8"/>
      <c r="G11" s="8"/>
      <c r="H11" s="8"/>
      <c r="I11" s="8"/>
      <c r="J11" s="8"/>
      <c r="K11" s="8"/>
      <c r="L11" s="8"/>
      <c r="M11" s="8"/>
      <c r="N11" s="8"/>
      <c r="O11" s="8"/>
      <c r="P11" s="8"/>
      <c r="Q11" s="8"/>
      <c r="R11" s="8"/>
      <c r="S11" s="8"/>
      <c r="T11" s="8"/>
      <c r="U11" s="22" t="str">
        <f>IF(COUNTIF([6]回答表!F17,"*")&gt;0,[6]回答表!F17,"")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IF(COUNTIF([6]回答表!W17,"*")&gt;0,[6]回答表!W17,"")</f>
        <v>農業集落排水施設</v>
      </c>
      <c r="AP11" s="10"/>
      <c r="AQ11" s="10"/>
      <c r="AR11" s="10"/>
      <c r="AS11" s="10"/>
      <c r="AT11" s="10"/>
      <c r="AU11" s="10"/>
      <c r="AV11" s="10"/>
      <c r="AW11" s="10"/>
      <c r="AX11" s="10"/>
      <c r="AY11" s="10"/>
      <c r="AZ11" s="10"/>
      <c r="BA11" s="10"/>
      <c r="BB11" s="10"/>
      <c r="BC11" s="10"/>
      <c r="BD11" s="10"/>
      <c r="BE11" s="10"/>
      <c r="BF11" s="11"/>
      <c r="BG11" s="21" t="str">
        <f>IF(COUNTIF([6]回答表!F19,"*")&gt;0,[6]回答表!F19,"")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IF([6]回答表!R43="●","●","")</f>
        <v>●</v>
      </c>
      <c r="E24" s="80"/>
      <c r="F24" s="80"/>
      <c r="G24" s="80"/>
      <c r="H24" s="80"/>
      <c r="I24" s="80"/>
      <c r="J24" s="81"/>
      <c r="K24" s="79" t="str">
        <f>IF([6]回答表!R44="●","●","")</f>
        <v/>
      </c>
      <c r="L24" s="80"/>
      <c r="M24" s="80"/>
      <c r="N24" s="80"/>
      <c r="O24" s="80"/>
      <c r="P24" s="80"/>
      <c r="Q24" s="81"/>
      <c r="R24" s="79" t="str">
        <f>IF([6]回答表!R45="●","●","")</f>
        <v/>
      </c>
      <c r="S24" s="80"/>
      <c r="T24" s="80"/>
      <c r="U24" s="80"/>
      <c r="V24" s="80"/>
      <c r="W24" s="80"/>
      <c r="X24" s="81"/>
      <c r="Y24" s="79" t="str">
        <f>IF([6]回答表!R46="●","●","")</f>
        <v/>
      </c>
      <c r="Z24" s="80"/>
      <c r="AA24" s="80"/>
      <c r="AB24" s="80"/>
      <c r="AC24" s="80"/>
      <c r="AD24" s="80"/>
      <c r="AE24" s="81"/>
      <c r="AF24" s="79" t="str">
        <f>IF([6]回答表!R47="●","●","")</f>
        <v/>
      </c>
      <c r="AG24" s="80"/>
      <c r="AH24" s="80"/>
      <c r="AI24" s="80"/>
      <c r="AJ24" s="80"/>
      <c r="AK24" s="80"/>
      <c r="AL24" s="81"/>
      <c r="AM24" s="79" t="str">
        <f>IF([6]回答表!R48="●","●","")</f>
        <v/>
      </c>
      <c r="AN24" s="80"/>
      <c r="AO24" s="80"/>
      <c r="AP24" s="80"/>
      <c r="AQ24" s="80"/>
      <c r="AR24" s="80"/>
      <c r="AS24" s="81"/>
      <c r="AT24" s="79" t="str">
        <f>IF([6]回答表!R49="●","●","")</f>
        <v/>
      </c>
      <c r="AU24" s="80"/>
      <c r="AV24" s="80"/>
      <c r="AW24" s="80"/>
      <c r="AX24" s="80"/>
      <c r="AY24" s="80"/>
      <c r="AZ24" s="81"/>
      <c r="BA24" s="68"/>
      <c r="BB24" s="82" t="str">
        <f>IF([6]回答表!R50="●","●","")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21" customHeight="1" x14ac:dyDescent="0.4">
      <c r="A36" s="92"/>
      <c r="B36" s="92"/>
      <c r="C36" s="101"/>
      <c r="D36" s="105" t="s">
        <v>18</v>
      </c>
      <c r="E36" s="106"/>
      <c r="F36" s="106"/>
      <c r="G36" s="106"/>
      <c r="H36" s="106"/>
      <c r="I36" s="106"/>
      <c r="J36" s="106"/>
      <c r="K36" s="106"/>
      <c r="L36" s="106"/>
      <c r="M36" s="107"/>
      <c r="N36" s="130" t="str">
        <f>IF([6]回答表!X43="●","●","")</f>
        <v>●</v>
      </c>
      <c r="O36" s="131"/>
      <c r="P36" s="131"/>
      <c r="Q36" s="132"/>
      <c r="R36" s="119"/>
      <c r="S36" s="119"/>
      <c r="T36" s="119"/>
      <c r="U36" s="313" t="str">
        <f>IF([6]回答表!X43="●",[6]回答表!B59,IF([6]回答表!AA43="●",[6]回答表!B79,""))</f>
        <v>　昨年度、流域下水道への接続工事を発注し、薬師・払田・福田の３処理場は接続を完了した。今年度は神岡東部地域の接続工事を予定している。現時点では、効果額よりも接続に伴う負担金の支出が上回っている状態である。しかし今後は処理場の維持管理費等が不要になるため、長期的視点では費用の削減が見込まれる。</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IF([6]回答表!X43="●",[6]回答表!S65,IF([6]回答表!AA43="●",[6]回答表!S85,""))</f>
        <v>令和</v>
      </c>
      <c r="BG36" s="139"/>
      <c r="BH36" s="139"/>
      <c r="BI36" s="139"/>
      <c r="BJ36" s="138"/>
      <c r="BK36" s="139"/>
      <c r="BL36" s="139"/>
      <c r="BM36" s="139"/>
      <c r="BN36" s="138"/>
      <c r="BO36" s="139"/>
      <c r="BP36" s="139"/>
      <c r="BQ36" s="140"/>
      <c r="BR36" s="112"/>
      <c r="BS36" s="92"/>
    </row>
    <row r="37" spans="1:71" ht="21"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21"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IF([6]回答表!X43="●",[6]回答表!G65,IF([6]回答表!AA43="●",[6]回答表!G85,""))</f>
        <v xml:space="preserve"> </v>
      </c>
      <c r="AN38" s="83"/>
      <c r="AO38" s="83"/>
      <c r="AP38" s="83"/>
      <c r="AQ38" s="83"/>
      <c r="AR38" s="83"/>
      <c r="AS38" s="83"/>
      <c r="AT38" s="153"/>
      <c r="AU38" s="82" t="str">
        <f>IF([6]回答表!X43="●",[6]回答表!G66,IF([6]回答表!AA43="●",[6]回答表!G86,""))</f>
        <v>●</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21"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IF([6]回答表!X43="●",[6]回答表!V65,IF([6]回答表!AA43="●",[6]回答表!V85,""))</f>
        <v>2</v>
      </c>
      <c r="BG39" s="16"/>
      <c r="BH39" s="16"/>
      <c r="BI39" s="17"/>
      <c r="BJ39" s="150">
        <f>IF([6]回答表!X43="●",[6]回答表!V66,IF([6]回答表!AA43="●",[6]回答表!V86,""))</f>
        <v>4</v>
      </c>
      <c r="BK39" s="16"/>
      <c r="BL39" s="16"/>
      <c r="BM39" s="17"/>
      <c r="BN39" s="150">
        <f>IF([6]回答表!X43="●",[6]回答表!V67,IF([6]回答表!AA43="●",[6]回答表!V87,""))</f>
        <v>1</v>
      </c>
      <c r="BO39" s="16"/>
      <c r="BP39" s="16"/>
      <c r="BQ39" s="17"/>
      <c r="BR39" s="112"/>
      <c r="BS39" s="92"/>
    </row>
    <row r="40" spans="1:71" ht="21"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21"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21"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IF([6]回答表!X43="●",[6]回答表!O71,IF([6]回答表!AA43="●",[6]回答表!O91,""))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1"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IF([6]回答表!X43="●",[6]回答表!O72,IF([6]回答表!AA43="●",[6]回答表!O92,""))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1" customHeight="1" x14ac:dyDescent="0.4">
      <c r="A44" s="92"/>
      <c r="B44" s="92"/>
      <c r="C44" s="101"/>
      <c r="D44" s="166" t="s">
        <v>26</v>
      </c>
      <c r="E44" s="167"/>
      <c r="F44" s="167"/>
      <c r="G44" s="167"/>
      <c r="H44" s="167"/>
      <c r="I44" s="167"/>
      <c r="J44" s="167"/>
      <c r="K44" s="167"/>
      <c r="L44" s="167"/>
      <c r="M44" s="168"/>
      <c r="N44" s="130" t="str">
        <f>IF([6]回答表!AA43="●","●","")</f>
        <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IF([6]回答表!X43="●",[6]回答表!O73,IF([6]回答表!AA43="●",[6]回答表!O93,""))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21"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IF([6]回答表!X43="●",[6]回答表!O74,IF([6]回答表!AA43="●",[6]回答表!O94,""))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21"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IF([6]回答表!X43="●",[6]回答表!AG71,IF([6]回答表!AA43="●",[6]回答表!AG91,""))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21"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f>IF([6]回答表!X43="●",[6]回答表!AG72,IF([6]回答表!AA43="●",[6]回答表!AG92,""))</f>
        <v>0</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IF([6]回答表!AD43="●","●","")</f>
        <v/>
      </c>
      <c r="O51" s="131"/>
      <c r="P51" s="131"/>
      <c r="Q51" s="132"/>
      <c r="R51" s="119"/>
      <c r="S51" s="119"/>
      <c r="T51" s="119"/>
      <c r="U51" s="133" t="str">
        <f>IF([6]回答表!AD43="●",[6]回答表!B99,"")</f>
        <v/>
      </c>
      <c r="V51" s="134"/>
      <c r="W51" s="134"/>
      <c r="X51" s="134"/>
      <c r="Y51" s="134"/>
      <c r="Z51" s="134"/>
      <c r="AA51" s="134"/>
      <c r="AB51" s="134"/>
      <c r="AC51" s="134"/>
      <c r="AD51" s="134"/>
      <c r="AE51" s="134"/>
      <c r="AF51" s="134"/>
      <c r="AG51" s="134"/>
      <c r="AH51" s="134"/>
      <c r="AI51" s="134"/>
      <c r="AJ51" s="135"/>
      <c r="AK51" s="183"/>
      <c r="AL51" s="183"/>
      <c r="AM51" s="133" t="str">
        <f>IF([6]回答表!AD43="●",[6]回答表!B104,"")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IF([6]回答表!X44="●","●","")</f>
        <v/>
      </c>
      <c r="O62" s="131"/>
      <c r="P62" s="131"/>
      <c r="Q62" s="132"/>
      <c r="R62" s="119"/>
      <c r="S62" s="119"/>
      <c r="T62" s="119"/>
      <c r="U62" s="133" t="str">
        <f>IF([6]回答表!X44="●",[6]回答表!B115,IF([6]回答表!AA44="●",[6]回答表!B127,""))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IF([6]回答表!X44="●",[6]回答表!S121,IF([6]回答表!AA44="●",[6]回答表!S133,""))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IF([6]回答表!X44="●",[6]回答表!J121,IF([6]回答表!AA44="●",[6]回答表!J133,""))</f>
        <v/>
      </c>
      <c r="AN65" s="83"/>
      <c r="AO65" s="83"/>
      <c r="AP65" s="83"/>
      <c r="AQ65" s="83"/>
      <c r="AR65" s="83"/>
      <c r="AS65" s="83"/>
      <c r="AT65" s="153"/>
      <c r="AU65" s="82" t="str">
        <f>IF([6]回答表!X44="●",[6]回答表!J122,IF([6]回答表!AA44="●",[6]回答表!J134,""))</f>
        <v/>
      </c>
      <c r="AV65" s="83"/>
      <c r="AW65" s="83"/>
      <c r="AX65" s="83"/>
      <c r="AY65" s="83"/>
      <c r="AZ65" s="83"/>
      <c r="BA65" s="83"/>
      <c r="BB65" s="153"/>
      <c r="BC65" s="120"/>
      <c r="BD65" s="109"/>
      <c r="BE65" s="109"/>
      <c r="BF65" s="150" t="str">
        <f>IF([6]回答表!X44="●",[6]回答表!V121,IF([6]回答表!AA44="●",[6]回答表!V133,""))</f>
        <v/>
      </c>
      <c r="BG65" s="151"/>
      <c r="BH65" s="151"/>
      <c r="BI65" s="151"/>
      <c r="BJ65" s="150" t="str">
        <f>IF([6]回答表!X44="●",[6]回答表!V122,IF([6]回答表!AA44="●",[6]回答表!V134,""))</f>
        <v/>
      </c>
      <c r="BK65" s="151"/>
      <c r="BL65" s="151"/>
      <c r="BM65" s="151"/>
      <c r="BN65" s="150" t="str">
        <f>IF([6]回答表!X44="●",[6]回答表!V123,IF([6]回答表!AA44="●",[6]回答表!V135,""))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IF([6]回答表!AA44="●","●","")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IF([6]回答表!AD44="●","●","")</f>
        <v/>
      </c>
      <c r="O74" s="131"/>
      <c r="P74" s="131"/>
      <c r="Q74" s="132"/>
      <c r="R74" s="119"/>
      <c r="S74" s="119"/>
      <c r="T74" s="119"/>
      <c r="U74" s="133" t="str">
        <f>IF([6]回答表!AD44="●",[6]回答表!B140,"")</f>
        <v/>
      </c>
      <c r="V74" s="134"/>
      <c r="W74" s="134"/>
      <c r="X74" s="134"/>
      <c r="Y74" s="134"/>
      <c r="Z74" s="134"/>
      <c r="AA74" s="134"/>
      <c r="AB74" s="134"/>
      <c r="AC74" s="134"/>
      <c r="AD74" s="134"/>
      <c r="AE74" s="134"/>
      <c r="AF74" s="134"/>
      <c r="AG74" s="134"/>
      <c r="AH74" s="134"/>
      <c r="AI74" s="134"/>
      <c r="AJ74" s="135"/>
      <c r="AK74" s="183"/>
      <c r="AL74" s="183"/>
      <c r="AM74" s="133" t="str">
        <f>IF([6]回答表!AD44="●",[6]回答表!B146,"")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IF([6]回答表!F17="水道事業",IF([6]回答表!X45="●","●",""),"")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IF([6]回答表!F17="水道事業",IF([6]回答表!X45="●",[6]回答表!B158,IF([6]回答表!AA45="●",[6]回答表!B223,"")),"")</f>
        <v/>
      </c>
      <c r="AN86" s="201"/>
      <c r="AO86" s="201"/>
      <c r="AP86" s="201"/>
      <c r="AQ86" s="201"/>
      <c r="AR86" s="201"/>
      <c r="AS86" s="201"/>
      <c r="AT86" s="201"/>
      <c r="AU86" s="201"/>
      <c r="AV86" s="201"/>
      <c r="AW86" s="201"/>
      <c r="AX86" s="201"/>
      <c r="AY86" s="201"/>
      <c r="AZ86" s="201"/>
      <c r="BA86" s="201"/>
      <c r="BB86" s="201"/>
      <c r="BC86" s="202"/>
      <c r="BD86" s="109"/>
      <c r="BE86" s="109"/>
      <c r="BF86" s="138" t="str">
        <f>IF([6]回答表!F17="水道事業",IF([6]回答表!X45="●",[6]回答表!B212,IF([6]回答表!AA45="●",[6]回答表!B278,"")),"")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IF([6]回答表!F17="水道事業",IF([6]回答表!X45="●",[6]回答表!J166,IF([6]回答表!AA45="●",[6]回答表!J231,"")),"")</f>
        <v/>
      </c>
      <c r="V88" s="83"/>
      <c r="W88" s="83"/>
      <c r="X88" s="83"/>
      <c r="Y88" s="83"/>
      <c r="Z88" s="83"/>
      <c r="AA88" s="83"/>
      <c r="AB88" s="153"/>
      <c r="AC88" s="82" t="str">
        <f>IF([6]回答表!F17="水道事業",IF([6]回答表!X45="●",[6]回答表!J173,IF([6]回答表!AA45="●",[6]回答表!J238,"")),"")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IF([6]回答表!F17="水道事業",IF([6]回答表!X45="●",[6]回答表!E212,IF([6]回答表!AA45="●",[6]回答表!E278,"")),"")</f>
        <v/>
      </c>
      <c r="BG89" s="151"/>
      <c r="BH89" s="151"/>
      <c r="BI89" s="151"/>
      <c r="BJ89" s="150" t="str">
        <f>IF([6]回答表!F17="水道事業",IF([6]回答表!X45="●",[6]回答表!E213,IF([6]回答表!AA45="●",[6]回答表!E279,"")),"")</f>
        <v/>
      </c>
      <c r="BK89" s="151"/>
      <c r="BL89" s="151"/>
      <c r="BM89" s="151"/>
      <c r="BN89" s="150" t="str">
        <f>IF([6]回答表!F17="水道事業",IF([6]回答表!X45="●",[6]回答表!E214,IF([6]回答表!AA45="●",[6]回答表!E280,"")),"")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IF([6]回答表!F17="水道事業",IF([6]回答表!AA45="●","●",""),"")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IF([6]回答表!F17="水道事業",IF([6]回答表!X45="●",[6]回答表!J176,IF([6]回答表!AA45="●",[6]回答表!J241,"")),"")</f>
        <v/>
      </c>
      <c r="V93" s="83"/>
      <c r="W93" s="83"/>
      <c r="X93" s="83"/>
      <c r="Y93" s="83"/>
      <c r="Z93" s="83"/>
      <c r="AA93" s="83"/>
      <c r="AB93" s="153"/>
      <c r="AC93" s="82" t="str">
        <f>IF([6]回答表!F17="水道事業",IF([6]回答表!X45="●",[6]回答表!J180,IF([6]回答表!AA45="●",[6]回答表!J245,"")),"")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IF([6]回答表!F17="水道事業",IF([6]回答表!AD45="○","○",""),"")</f>
        <v/>
      </c>
      <c r="O98" s="131"/>
      <c r="P98" s="131"/>
      <c r="Q98" s="132"/>
      <c r="R98" s="119"/>
      <c r="S98" s="119"/>
      <c r="T98" s="119"/>
      <c r="U98" s="133" t="str">
        <f>IF([6]回答表!F17="水道事業",IF([6]回答表!AD45="●",[6]回答表!B289,""),"")</f>
        <v/>
      </c>
      <c r="V98" s="134"/>
      <c r="W98" s="134"/>
      <c r="X98" s="134"/>
      <c r="Y98" s="134"/>
      <c r="Z98" s="134"/>
      <c r="AA98" s="134"/>
      <c r="AB98" s="134"/>
      <c r="AC98" s="134"/>
      <c r="AD98" s="134"/>
      <c r="AE98" s="134"/>
      <c r="AF98" s="134"/>
      <c r="AG98" s="134"/>
      <c r="AH98" s="134"/>
      <c r="AI98" s="134"/>
      <c r="AJ98" s="135"/>
      <c r="AK98" s="183"/>
      <c r="AL98" s="183"/>
      <c r="AM98" s="133" t="str">
        <f>IF([6]回答表!F17="水道事業",IF([6]回答表!AD45="●",[6]回答表!B295,""),"")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IF([6]回答表!F17="簡易水道事業",IF([6]回答表!X45="●",[6]回答表!B158,IF([6]回答表!AA45="●",[6]回答表!B223,"")),"")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IF([6]回答表!F17="簡易水道事業",IF([6]回答表!X45="●",[6]回答表!B212,IF([6]回答表!AA45="●",[6]回答表!B278,"")),"")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IF([6]回答表!F17="簡易水道事業",IF([6]回答表!X45="●","●",""),"")</f>
        <v/>
      </c>
      <c r="O112" s="131"/>
      <c r="P112" s="131"/>
      <c r="Q112" s="132"/>
      <c r="R112" s="119"/>
      <c r="S112" s="119"/>
      <c r="T112" s="119"/>
      <c r="U112" s="82" t="str">
        <f>IF([6]回答表!F17="簡易水道事業",IF([6]回答表!X45="●",[6]回答表!Y185,IF([6]回答表!AA45="●",[6]回答表!Y251,"")),"")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IF([6]回答表!F17="簡易水道事業",IF([6]回答表!X45="●",[6]回答表!E212,IF([6]回答表!AA45="●",[6]回答表!E278,"")),"")</f>
        <v/>
      </c>
      <c r="BG113" s="151"/>
      <c r="BH113" s="151"/>
      <c r="BI113" s="151"/>
      <c r="BJ113" s="150" t="str">
        <f>IF([6]回答表!F17="簡易水道事業",IF([6]回答表!X45="●",[6]回答表!E213,IF([6]回答表!AA45="●",[6]回答表!E279,"")),"")</f>
        <v/>
      </c>
      <c r="BK113" s="151"/>
      <c r="BL113" s="151"/>
      <c r="BM113" s="151"/>
      <c r="BN113" s="150" t="str">
        <f>IF([6]回答表!F17="簡易水道事業",IF([6]回答表!X45="●",[6]回答表!E214,IF([6]回答表!AA45="●",[6]回答表!E280,"")),"")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IF([6]回答表!F17="簡易水道事業",IF([6]回答表!X45="●",[6]回答表!Y186,IF([6]回答表!AA45="●",[6]回答表!Y252,"")),"")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IF([6]回答表!F17="簡易水道事業",IF([6]回答表!AA45="●","●",""),"")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IF([6]回答表!F17="簡易水道事業",IF([6]回答表!X45="●",[6]回答表!Y187,IF([6]回答表!AA45="●",[6]回答表!Y253,"")),"")</f>
        <v/>
      </c>
      <c r="V122" s="83"/>
      <c r="W122" s="83"/>
      <c r="X122" s="83"/>
      <c r="Y122" s="83"/>
      <c r="Z122" s="83"/>
      <c r="AA122" s="83"/>
      <c r="AB122" s="83"/>
      <c r="AC122" s="83"/>
      <c r="AD122" s="83"/>
      <c r="AE122" s="83"/>
      <c r="AF122" s="83"/>
      <c r="AG122" s="83"/>
      <c r="AH122" s="83"/>
      <c r="AI122" s="83"/>
      <c r="AJ122" s="153"/>
      <c r="AK122" s="68"/>
      <c r="AL122" s="68"/>
      <c r="AM122" s="233" t="str">
        <f>IF([6]回答表!F17="簡易水道事業",IF([6]回答表!X45="●",[6]回答表!Y189,IF([6]回答表!AA45="●",[6]回答表!Y255,"")),"")</f>
        <v/>
      </c>
      <c r="AN122" s="233"/>
      <c r="AO122" s="233"/>
      <c r="AP122" s="233"/>
      <c r="AQ122" s="233"/>
      <c r="AR122" s="233"/>
      <c r="AS122" s="233" t="str">
        <f>IF([6]回答表!F17="簡易水道事業",IF([6]回答表!X45="●",[6]回答表!Y190,IF([6]回答表!AA45="●",[6]回答表!Y256,"")),"")</f>
        <v/>
      </c>
      <c r="AT122" s="233"/>
      <c r="AU122" s="233"/>
      <c r="AV122" s="233"/>
      <c r="AW122" s="233"/>
      <c r="AX122" s="233"/>
      <c r="AY122" s="233" t="str">
        <f>IF([6]回答表!F17="簡易水道事業",IF([6]回答表!X45="●",[6]回答表!Y191,IF([6]回答表!AA45="●",[6]回答表!Y257,"")),"")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IF([6]回答表!F17="簡易水道事業",IF([6]回答表!AD45="●","●",""),"")</f>
        <v/>
      </c>
      <c r="O127" s="131"/>
      <c r="P127" s="131"/>
      <c r="Q127" s="132"/>
      <c r="R127" s="119"/>
      <c r="S127" s="119"/>
      <c r="T127" s="119"/>
      <c r="U127" s="133" t="str">
        <f>IF([6]回答表!F17="簡易水道事業",IF([6]回答表!AD45="●",[6]回答表!B289,""),"")</f>
        <v/>
      </c>
      <c r="V127" s="134"/>
      <c r="W127" s="134"/>
      <c r="X127" s="134"/>
      <c r="Y127" s="134"/>
      <c r="Z127" s="134"/>
      <c r="AA127" s="134"/>
      <c r="AB127" s="134"/>
      <c r="AC127" s="134"/>
      <c r="AD127" s="134"/>
      <c r="AE127" s="134"/>
      <c r="AF127" s="134"/>
      <c r="AG127" s="134"/>
      <c r="AH127" s="134"/>
      <c r="AI127" s="134"/>
      <c r="AJ127" s="135"/>
      <c r="AK127" s="183"/>
      <c r="AL127" s="183"/>
      <c r="AM127" s="133" t="str">
        <f>IF([6]回答表!F17="簡易水道事業",IF([6]回答表!AD45="●",[6]回答表!B295,""),"")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IF([6]回答表!F17="下水道事業",IF([6]回答表!X45="●","●",""),"")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IF([6]回答表!F17="下水道事業",IF([6]回答表!X45="●",[6]回答表!B158,IF([6]回答表!AA45="●",[6]回答表!B223,"")),"")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IF([6]回答表!F17="下水道事業",IF([6]回答表!X45="●",[6]回答表!B212,IF([6]回答表!AA45="●",[6]回答表!B278,"")),"")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IF([6]回答表!F17="下水道事業",IF([6]回答表!X45="●",[6]回答表!Y193,IF([6]回答表!AA45="●",[6]回答表!Y259,"")),"")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IF([6]回答表!F17="下水道事業",IF([6]回答表!X45="●",[6]回答表!E212,IF([6]回答表!AA45="●",[6]回答表!E278,"")),"")</f>
        <v/>
      </c>
      <c r="BG142" s="151"/>
      <c r="BH142" s="151"/>
      <c r="BI142" s="151"/>
      <c r="BJ142" s="150" t="str">
        <f>IF([6]回答表!F17="下水道事業",IF([6]回答表!X45="●",[6]回答表!E213,IF([6]回答表!AA45="●",[6]回答表!E279,"")),"")</f>
        <v/>
      </c>
      <c r="BK142" s="151"/>
      <c r="BL142" s="151"/>
      <c r="BM142" s="151"/>
      <c r="BN142" s="150" t="str">
        <f>IF([6]回答表!F17="下水道事業",IF([6]回答表!X45="●",[6]回答表!E214,IF([6]回答表!AA45="●",[6]回答表!E280,"")),"")</f>
        <v/>
      </c>
      <c r="BO142" s="151"/>
      <c r="BP142" s="151"/>
      <c r="BQ142" s="152"/>
      <c r="BR142" s="112"/>
      <c r="BX142" s="200" t="str">
        <f>IF([6]回答表!AQ20="下水道事業",IF([6]回答表!BI48="○",[6]回答表!AM161,IF([6]回答表!BL48="○",[6]回答表!AM226,"")),"")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IF([6]回答表!F17="下水道事業",IF([6]回答表!X45="●",[6]回答表!Y195,IF([6]回答表!AA45="●",[6]回答表!Y261,"")),"")</f>
        <v/>
      </c>
      <c r="V147" s="83"/>
      <c r="W147" s="83"/>
      <c r="X147" s="83"/>
      <c r="Y147" s="83"/>
      <c r="Z147" s="83"/>
      <c r="AA147" s="83"/>
      <c r="AB147" s="153"/>
      <c r="AC147" s="82" t="str">
        <f>IF([6]回答表!F17="下水道事業",IF([6]回答表!X45="●",[6]回答表!Y196,IF([6]回答表!AA45="●",[6]回答表!Y262,"")),"")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IF([6]回答表!F17="下水道事業",IF([6]回答表!X45="●",[6]回答表!Y198,IF([6]回答表!AA45="●",[6]回答表!Y264,"")),"")</f>
        <v/>
      </c>
      <c r="V153" s="83"/>
      <c r="W153" s="83"/>
      <c r="X153" s="83"/>
      <c r="Y153" s="83"/>
      <c r="Z153" s="83"/>
      <c r="AA153" s="83"/>
      <c r="AB153" s="153"/>
      <c r="AC153" s="82" t="str">
        <f>IF([6]回答表!F17="下水道事業",IF([6]回答表!X45="●",[6]回答表!Y199,IF([6]回答表!AA45="●",[6]回答表!Y265,"")),"")</f>
        <v/>
      </c>
      <c r="AD153" s="83"/>
      <c r="AE153" s="83"/>
      <c r="AF153" s="83"/>
      <c r="AG153" s="83"/>
      <c r="AH153" s="83"/>
      <c r="AI153" s="83"/>
      <c r="AJ153" s="153"/>
      <c r="AK153" s="82" t="str">
        <f>IF([6]回答表!F17="下水道事業",IF([6]回答表!X45="●",[6]回答表!Y200,IF([6]回答表!AA45="●",[6]回答表!Y266,"")),"")</f>
        <v/>
      </c>
      <c r="AL153" s="83"/>
      <c r="AM153" s="83"/>
      <c r="AN153" s="83"/>
      <c r="AO153" s="83"/>
      <c r="AP153" s="83"/>
      <c r="AQ153" s="83"/>
      <c r="AR153" s="153"/>
      <c r="AS153" s="82" t="str">
        <f>IF([6]回答表!F17="下水道事業",IF([6]回答表!X45="●",[6]回答表!Y201,IF([6]回答表!AA45="●",[6]回答表!Y267,"")),"")</f>
        <v/>
      </c>
      <c r="AT153" s="83"/>
      <c r="AU153" s="83"/>
      <c r="AV153" s="83"/>
      <c r="AW153" s="83"/>
      <c r="AX153" s="83"/>
      <c r="AY153" s="83"/>
      <c r="AZ153" s="153"/>
      <c r="BA153" s="82" t="str">
        <f>IF([6]回答表!F17="下水道事業",IF([6]回答表!X45="●",[6]回答表!Y202,IF([6]回答表!AA45="●",[6]回答表!Y268,"")),"")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IF([6]回答表!F17="下水道事業",IF([6]回答表!AA45="●","●",""),"")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IF([6]回答表!F17="下水道事業",IF([6]回答表!X45="●",[6]回答表!Y207,IF([6]回答表!AA45="●",[6]回答表!Y273,"")),"")</f>
        <v/>
      </c>
      <c r="V159" s="83"/>
      <c r="W159" s="83"/>
      <c r="X159" s="83"/>
      <c r="Y159" s="83"/>
      <c r="Z159" s="83"/>
      <c r="AA159" s="83"/>
      <c r="AB159" s="153"/>
      <c r="AC159" s="82" t="str">
        <f>IF([6]回答表!F17="下水道事業",IF([6]回答表!X45="●",[6]回答表!Y208,IF([6]回答表!AA45="●",[6]回答表!Y274,"")),"")</f>
        <v/>
      </c>
      <c r="AD159" s="83"/>
      <c r="AE159" s="83"/>
      <c r="AF159" s="83"/>
      <c r="AG159" s="83"/>
      <c r="AH159" s="83"/>
      <c r="AI159" s="83"/>
      <c r="AJ159" s="153"/>
      <c r="AK159" s="82" t="str">
        <f>IF([6]回答表!F17="下水道事業",IF([6]回答表!X45="●",[6]回答表!Y209,IF([6]回答表!AA45="●",[6]回答表!Y275,"")),"")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IF([6]回答表!F17="下水道事業",IF([6]回答表!AD45="●","●",""),"")</f>
        <v/>
      </c>
      <c r="O164" s="131"/>
      <c r="P164" s="131"/>
      <c r="Q164" s="132"/>
      <c r="R164" s="119"/>
      <c r="S164" s="119"/>
      <c r="T164" s="119"/>
      <c r="U164" s="133" t="str">
        <f>IF([6]回答表!F17="下水道事業",IF([6]回答表!AD45="●",[6]回答表!B289,""),"")</f>
        <v/>
      </c>
      <c r="V164" s="134"/>
      <c r="W164" s="134"/>
      <c r="X164" s="134"/>
      <c r="Y164" s="134"/>
      <c r="Z164" s="134"/>
      <c r="AA164" s="134"/>
      <c r="AB164" s="134"/>
      <c r="AC164" s="134"/>
      <c r="AD164" s="134"/>
      <c r="AE164" s="134"/>
      <c r="AF164" s="134"/>
      <c r="AG164" s="134"/>
      <c r="AH164" s="134"/>
      <c r="AI164" s="134"/>
      <c r="AJ164" s="135"/>
      <c r="AK164" s="183"/>
      <c r="AL164" s="183"/>
      <c r="AM164" s="133" t="str">
        <f>IF([6]回答表!F17="下水道事業",IF([6]回答表!AD45="●",[6]回答表!B295,""),"")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IF([6]回答表!BD17="●",IF([6]回答表!X45="●","●",""),"")</f>
        <v/>
      </c>
      <c r="O176" s="131"/>
      <c r="P176" s="131"/>
      <c r="Q176" s="132"/>
      <c r="R176" s="119"/>
      <c r="S176" s="119"/>
      <c r="T176" s="119"/>
      <c r="U176" s="133" t="str">
        <f>IF([6]回答表!BD17="●",IF([6]回答表!X45="●",[6]回答表!B158,IF([6]回答表!AA45="●",[6]回答表!B223,"")),"")</f>
        <v/>
      </c>
      <c r="V176" s="134"/>
      <c r="W176" s="134"/>
      <c r="X176" s="134"/>
      <c r="Y176" s="134"/>
      <c r="Z176" s="134"/>
      <c r="AA176" s="134"/>
      <c r="AB176" s="134"/>
      <c r="AC176" s="134"/>
      <c r="AD176" s="134"/>
      <c r="AE176" s="134"/>
      <c r="AF176" s="134"/>
      <c r="AG176" s="134"/>
      <c r="AH176" s="134"/>
      <c r="AI176" s="134"/>
      <c r="AJ176" s="135"/>
      <c r="AK176" s="136"/>
      <c r="AL176" s="136"/>
      <c r="AM176" s="138" t="str">
        <f>IF([6]回答表!BD17="●",IF([6]回答表!X45="●",[6]回答表!B212,IF([6]回答表!AA45="●",[6]回答表!B278,"")),"")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IF([6]回答表!BD17="●",IF([6]回答表!X45="●",[6]回答表!E212,IF([6]回答表!AA45="●",[6]回答表!E278,"")),"")</f>
        <v/>
      </c>
      <c r="AN179" s="151"/>
      <c r="AO179" s="151"/>
      <c r="AP179" s="151"/>
      <c r="AQ179" s="150" t="str">
        <f>IF([6]回答表!BD17="●",IF([6]回答表!X45="●",[6]回答表!E213,IF([6]回答表!AA45="●",[6]回答表!E279,"")),"")</f>
        <v/>
      </c>
      <c r="AR179" s="151"/>
      <c r="AS179" s="151"/>
      <c r="AT179" s="151"/>
      <c r="AU179" s="150" t="str">
        <f>IF([6]回答表!BD17="●",IF([6]回答表!X45="●",[6]回答表!E214,IF([6]回答表!AA45="●",[6]回答表!E280,"")),"")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IF([6]回答表!BD17="●",IF([6]回答表!AA45="●","●",""),"")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IF([6]回答表!BD17="●",IF([6]回答表!AD45="●","●",""),"")</f>
        <v/>
      </c>
      <c r="O188" s="131"/>
      <c r="P188" s="131"/>
      <c r="Q188" s="132"/>
      <c r="R188" s="119"/>
      <c r="S188" s="119"/>
      <c r="T188" s="119"/>
      <c r="U188" s="133" t="str">
        <f>IF([6]回答表!BD17="●",IF([6]回答表!AD45="●",[6]回答表!B289,""),"")</f>
        <v/>
      </c>
      <c r="V188" s="134"/>
      <c r="W188" s="134"/>
      <c r="X188" s="134"/>
      <c r="Y188" s="134"/>
      <c r="Z188" s="134"/>
      <c r="AA188" s="134"/>
      <c r="AB188" s="134"/>
      <c r="AC188" s="134"/>
      <c r="AD188" s="134"/>
      <c r="AE188" s="134"/>
      <c r="AF188" s="134"/>
      <c r="AG188" s="134"/>
      <c r="AH188" s="134"/>
      <c r="AI188" s="134"/>
      <c r="AJ188" s="135"/>
      <c r="AK188" s="183"/>
      <c r="AL188" s="183"/>
      <c r="AM188" s="133" t="str">
        <f>IF([6]回答表!BD17="●",IF([6]回答表!AD45="●",[6]回答表!B295,""),"")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IF([6]回答表!X46="●","●","")</f>
        <v/>
      </c>
      <c r="O200" s="131"/>
      <c r="P200" s="131"/>
      <c r="Q200" s="132"/>
      <c r="R200" s="119"/>
      <c r="S200" s="119"/>
      <c r="T200" s="119"/>
      <c r="U200" s="133" t="str">
        <f>IF([6]回答表!X46="●",[6]回答表!B307,IF([6]回答表!AA46="●",[6]回答表!B324,""))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IF([6]回答表!X46="●",[6]回答表!U313,IF([6]回答表!AA46="●",[6]回答表!U330,""))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IF([6]回答表!X46="●",[6]回答表!G313,IF([6]回答表!AA46="●",[6]回答表!G330,""))</f>
        <v/>
      </c>
      <c r="AN203" s="83"/>
      <c r="AO203" s="83"/>
      <c r="AP203" s="83"/>
      <c r="AQ203" s="83"/>
      <c r="AR203" s="83"/>
      <c r="AS203" s="83"/>
      <c r="AT203" s="153"/>
      <c r="AU203" s="82" t="str">
        <f>IF([6]回答表!X46="●",[6]回答表!G314,IF([6]回答表!AA46="●",[6]回答表!G331,""))</f>
        <v/>
      </c>
      <c r="AV203" s="83"/>
      <c r="AW203" s="83"/>
      <c r="AX203" s="83"/>
      <c r="AY203" s="83"/>
      <c r="AZ203" s="83"/>
      <c r="BA203" s="83"/>
      <c r="BB203" s="153"/>
      <c r="BC203" s="120"/>
      <c r="BD203" s="109"/>
      <c r="BE203" s="109"/>
      <c r="BF203" s="150" t="str">
        <f>IF([6]回答表!X46="●",[6]回答表!X313,IF([6]回答表!AA46="●",[6]回答表!X330,""))</f>
        <v/>
      </c>
      <c r="BG203" s="151"/>
      <c r="BH203" s="151"/>
      <c r="BI203" s="151"/>
      <c r="BJ203" s="150" t="str">
        <f>IF([6]回答表!X46="●",[6]回答表!X314,IF([6]回答表!AA46="●",[6]回答表!X331,""))</f>
        <v/>
      </c>
      <c r="BK203" s="151"/>
      <c r="BL203" s="151"/>
      <c r="BM203" s="152"/>
      <c r="BN203" s="150" t="str">
        <f>IF([6]回答表!X46="●",[6]回答表!X315,IF([6]回答表!AA46="●",[6]回答表!X332,""))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IF([6]回答表!AA46="●","●","")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IF([6]回答表!AD46="●","●","")</f>
        <v/>
      </c>
      <c r="O212" s="131"/>
      <c r="P212" s="131"/>
      <c r="Q212" s="132"/>
      <c r="R212" s="119"/>
      <c r="S212" s="119"/>
      <c r="T212" s="119"/>
      <c r="U212" s="133" t="str">
        <f>IF([6]回答表!AD46="●",[6]回答表!B337,"")</f>
        <v/>
      </c>
      <c r="V212" s="134"/>
      <c r="W212" s="134"/>
      <c r="X212" s="134"/>
      <c r="Y212" s="134"/>
      <c r="Z212" s="134"/>
      <c r="AA212" s="134"/>
      <c r="AB212" s="134"/>
      <c r="AC212" s="134"/>
      <c r="AD212" s="134"/>
      <c r="AE212" s="134"/>
      <c r="AF212" s="134"/>
      <c r="AG212" s="134"/>
      <c r="AH212" s="134"/>
      <c r="AI212" s="134"/>
      <c r="AJ212" s="135"/>
      <c r="AK212" s="259"/>
      <c r="AL212" s="259"/>
      <c r="AM212" s="133" t="str">
        <f>IF([6]回答表!AD46="●",[6]回答表!B343,"")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IF([6]回答表!X47="●","●","")</f>
        <v/>
      </c>
      <c r="O224" s="131"/>
      <c r="P224" s="131"/>
      <c r="Q224" s="132"/>
      <c r="R224" s="119"/>
      <c r="S224" s="119"/>
      <c r="T224" s="119"/>
      <c r="U224" s="133" t="str">
        <f>IF([6]回答表!X47="●",[6]回答表!B356,IF([6]回答表!AA47="●",[6]回答表!B379,""))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IF([6]回答表!X47="●",[6]回答表!B362,"")</f>
        <v/>
      </c>
      <c r="AO224" s="263"/>
      <c r="AP224" s="263"/>
      <c r="AQ224" s="263"/>
      <c r="AR224" s="263"/>
      <c r="AS224" s="263"/>
      <c r="AT224" s="263"/>
      <c r="AU224" s="263"/>
      <c r="AV224" s="263"/>
      <c r="AW224" s="263"/>
      <c r="AX224" s="263"/>
      <c r="AY224" s="263"/>
      <c r="AZ224" s="263"/>
      <c r="BA224" s="263"/>
      <c r="BB224" s="264"/>
      <c r="BC224" s="120"/>
      <c r="BD224" s="109"/>
      <c r="BE224" s="109"/>
      <c r="BF224" s="138" t="str">
        <f>IF([6]回答表!X47="●",[6]回答表!B368,IF([6]回答表!AA47="●",[6]回答表!B385,""))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IF([6]回答表!X47="●",[6]回答表!E368,IF([6]回答表!AA47="●",[6]回答表!E385,""))</f>
        <v/>
      </c>
      <c r="BG227" s="151"/>
      <c r="BH227" s="151"/>
      <c r="BI227" s="151"/>
      <c r="BJ227" s="150" t="str">
        <f>IF([6]回答表!X47="●",[6]回答表!E369,IF([6]回答表!AA47="●",[6]回答表!E386,""))</f>
        <v/>
      </c>
      <c r="BK227" s="151"/>
      <c r="BL227" s="151"/>
      <c r="BM227" s="152"/>
      <c r="BN227" s="150" t="str">
        <f>IF([6]回答表!X47="●",[6]回答表!E370,IF([6]回答表!AA47="●",[6]回答表!E387,""))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IF([6]回答表!AA47="●","●","")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IF([6]回答表!AD47="●","●","")</f>
        <v/>
      </c>
      <c r="O236" s="131"/>
      <c r="P236" s="131"/>
      <c r="Q236" s="132"/>
      <c r="R236" s="119"/>
      <c r="S236" s="119"/>
      <c r="T236" s="119"/>
      <c r="U236" s="133" t="str">
        <f>IF([6]回答表!AD47="●",[6]回答表!B392,"")</f>
        <v/>
      </c>
      <c r="V236" s="134"/>
      <c r="W236" s="134"/>
      <c r="X236" s="134"/>
      <c r="Y236" s="134"/>
      <c r="Z236" s="134"/>
      <c r="AA236" s="134"/>
      <c r="AB236" s="134"/>
      <c r="AC236" s="134"/>
      <c r="AD236" s="134"/>
      <c r="AE236" s="134"/>
      <c r="AF236" s="134"/>
      <c r="AG236" s="134"/>
      <c r="AH236" s="134"/>
      <c r="AI236" s="134"/>
      <c r="AJ236" s="135"/>
      <c r="AK236" s="259"/>
      <c r="AL236" s="259"/>
      <c r="AM236" s="133" t="str">
        <f>IF([6]回答表!AD47="●",[6]回答表!B398,"")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IF([6]回答表!X48="●","●","")</f>
        <v/>
      </c>
      <c r="O248" s="131"/>
      <c r="P248" s="131"/>
      <c r="Q248" s="132"/>
      <c r="R248" s="119"/>
      <c r="S248" s="119"/>
      <c r="T248" s="119"/>
      <c r="U248" s="133" t="str">
        <f>IF([6]回答表!X48="●",[6]回答表!B411,IF([6]回答表!AA48="●",[6]回答表!B425,""))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IF([6]回答表!X48="●",[6]回答表!BC418,IF([6]回答表!AA48="●",[6]回答表!BC432,""))</f>
        <v/>
      </c>
      <c r="AR248" s="272"/>
      <c r="AS248" s="272"/>
      <c r="AT248" s="272"/>
      <c r="AU248" s="273" t="s">
        <v>73</v>
      </c>
      <c r="AV248" s="274"/>
      <c r="AW248" s="274"/>
      <c r="AX248" s="275"/>
      <c r="AY248" s="272" t="str">
        <f>IF([6]回答表!X48="●",[6]回答表!BC423,IF([6]回答表!AA48="●",[6]回答表!BC437,""))</f>
        <v/>
      </c>
      <c r="AZ248" s="272"/>
      <c r="BA248" s="272"/>
      <c r="BB248" s="272"/>
      <c r="BC248" s="120"/>
      <c r="BD248" s="109"/>
      <c r="BE248" s="109"/>
      <c r="BF248" s="138" t="str">
        <f>IF([6]回答表!X48="●",[6]回答表!S417,IF([6]回答表!AA48="●",[6]回答表!S431,""))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IF([6]回答表!X48="●",[6]回答表!BC419,IF([6]回答表!AA48="●",[6]回答表!BC433,""))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IF([6]回答表!X48="●",[6]回答表!V417,IF([6]回答表!AA48="●",[6]回答表!V431,""))</f>
        <v/>
      </c>
      <c r="BG251" s="151"/>
      <c r="BH251" s="151"/>
      <c r="BI251" s="151"/>
      <c r="BJ251" s="150" t="str">
        <f>IF([6]回答表!X48="●",[6]回答表!V418,IF([6]回答表!AA48="●",[6]回答表!V432,""))</f>
        <v/>
      </c>
      <c r="BK251" s="151"/>
      <c r="BL251" s="151"/>
      <c r="BM251" s="152"/>
      <c r="BN251" s="150" t="str">
        <f>IF([6]回答表!X48="●",[6]回答表!V419,IF([6]回答表!AA48="●",[6]回答表!V433,""))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IF([6]回答表!X48="●",[6]回答表!BC420,IF([6]回答表!AA48="●",[6]回答表!BC434,""))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IF([6]回答表!X48="●",[6]回答表!BC424,IF([6]回答表!AA48="●",[6]回答表!BC438,""))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IF([6]回答表!AA48="●","●","")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IF([6]回答表!X48="●",[6]回答表!BC421,IF([6]回答表!AA48="●",[6]回答表!BC435,""))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IF([6]回答表!X48="●",[6]回答表!BC422,IF([6]回答表!AA48="●",[6]回答表!BC436,""))</f>
        <v/>
      </c>
      <c r="AR256" s="272"/>
      <c r="AS256" s="272"/>
      <c r="AT256" s="272"/>
      <c r="AU256" s="224" t="s">
        <v>79</v>
      </c>
      <c r="AV256" s="225"/>
      <c r="AW256" s="225"/>
      <c r="AX256" s="226"/>
      <c r="AY256" s="282" t="str">
        <f>IF([6]回答表!X48="●",[6]回答表!BC425,IF([6]回答表!AA48="●",[6]回答表!BC439,""))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IF([6]回答表!AD48="●","●","")</f>
        <v/>
      </c>
      <c r="O260" s="131"/>
      <c r="P260" s="131"/>
      <c r="Q260" s="132"/>
      <c r="R260" s="119"/>
      <c r="S260" s="119"/>
      <c r="T260" s="119"/>
      <c r="U260" s="133" t="str">
        <f>IF([6]回答表!AD48="●",[6]回答表!B439,"")</f>
        <v/>
      </c>
      <c r="V260" s="134"/>
      <c r="W260" s="134"/>
      <c r="X260" s="134"/>
      <c r="Y260" s="134"/>
      <c r="Z260" s="134"/>
      <c r="AA260" s="134"/>
      <c r="AB260" s="134"/>
      <c r="AC260" s="134"/>
      <c r="AD260" s="134"/>
      <c r="AE260" s="134"/>
      <c r="AF260" s="134"/>
      <c r="AG260" s="134"/>
      <c r="AH260" s="134"/>
      <c r="AI260" s="134"/>
      <c r="AJ260" s="135"/>
      <c r="AK260" s="183"/>
      <c r="AL260" s="183"/>
      <c r="AM260" s="133" t="str">
        <f>IF([6]回答表!AD48="●",[6]回答表!B445,"")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IF([6]回答表!X49="●","●","")</f>
        <v/>
      </c>
      <c r="O271" s="131"/>
      <c r="P271" s="131"/>
      <c r="Q271" s="132"/>
      <c r="R271" s="119"/>
      <c r="S271" s="119"/>
      <c r="T271" s="119"/>
      <c r="U271" s="133" t="str">
        <f>IF([6]回答表!X49="●",[6]回答表!B458,IF([6]回答表!AA49="●",[6]回答表!B475,""))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IF([6]回答表!X49="●",[6]回答表!B468,IF([6]回答表!AA49="●",[6]回答表!B485,""))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IF([6]回答表!X49="●",[6]回答表!G464,IF([6]回答表!AA49="●",[6]回答表!G481,""))</f>
        <v/>
      </c>
      <c r="AN273" s="83"/>
      <c r="AO273" s="83"/>
      <c r="AP273" s="83"/>
      <c r="AQ273" s="83"/>
      <c r="AR273" s="83"/>
      <c r="AS273" s="83"/>
      <c r="AT273" s="153"/>
      <c r="AU273" s="82" t="str">
        <f>IF([6]回答表!X49="●",[6]回答表!G465,IF([6]回答表!AA49="●",[6]回答表!G482,""))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IF([6]回答表!X49="●",[6]回答表!E468,IF([6]回答表!AA49="●",[6]回答表!E485,""))</f>
        <v/>
      </c>
      <c r="BG274" s="151"/>
      <c r="BH274" s="151"/>
      <c r="BI274" s="151"/>
      <c r="BJ274" s="150" t="str">
        <f>IF([6]回答表!X49="●",[6]回答表!E469,IF([6]回答表!AA49="●",[6]回答表!E486,""))</f>
        <v/>
      </c>
      <c r="BK274" s="151"/>
      <c r="BL274" s="151"/>
      <c r="BM274" s="152"/>
      <c r="BN274" s="150" t="str">
        <f>IF([6]回答表!X49="●",[6]回答表!E470,IF([6]回答表!AA49="●",[6]回答表!E487,""))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IF([6]回答表!AA49="●","●","")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IF([6]回答表!AD49="●","●","")</f>
        <v/>
      </c>
      <c r="O283" s="131"/>
      <c r="P283" s="131"/>
      <c r="Q283" s="132"/>
      <c r="R283" s="119"/>
      <c r="S283" s="119"/>
      <c r="T283" s="119"/>
      <c r="U283" s="133" t="str">
        <f>IF([6]回答表!AD49="●",[6]回答表!B492,"")</f>
        <v/>
      </c>
      <c r="V283" s="134"/>
      <c r="W283" s="134"/>
      <c r="X283" s="134"/>
      <c r="Y283" s="134"/>
      <c r="Z283" s="134"/>
      <c r="AA283" s="134"/>
      <c r="AB283" s="134"/>
      <c r="AC283" s="134"/>
      <c r="AD283" s="134"/>
      <c r="AE283" s="134"/>
      <c r="AF283" s="134"/>
      <c r="AG283" s="134"/>
      <c r="AH283" s="134"/>
      <c r="AI283" s="134"/>
      <c r="AJ283" s="135"/>
      <c r="AK283" s="136"/>
      <c r="AL283" s="136"/>
      <c r="AM283" s="133" t="str">
        <f>IF([6]回答表!AD49="●",[6]回答表!B498,"")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IF([6]回答表!R50="●",[6]回答表!B511,"")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733CD-E40B-4564-B8D2-F5063DBF12EF}">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IF(COUNTIF([7]回答表!K15,"*")&gt;0,[7]回答表!K15,"")</f>
        <v>大仙市</v>
      </c>
      <c r="D11" s="8"/>
      <c r="E11" s="8"/>
      <c r="F11" s="8"/>
      <c r="G11" s="8"/>
      <c r="H11" s="8"/>
      <c r="I11" s="8"/>
      <c r="J11" s="8"/>
      <c r="K11" s="8"/>
      <c r="L11" s="8"/>
      <c r="M11" s="8"/>
      <c r="N11" s="8"/>
      <c r="O11" s="8"/>
      <c r="P11" s="8"/>
      <c r="Q11" s="8"/>
      <c r="R11" s="8"/>
      <c r="S11" s="8"/>
      <c r="T11" s="8"/>
      <c r="U11" s="22" t="str">
        <f>IF(COUNTIF([7]回答表!F17,"*")&gt;0,[7]回答表!F17,"")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IF(COUNTIF([7]回答表!W17,"*")&gt;0,[7]回答表!W17,"")</f>
        <v>特定地域排水処理施設</v>
      </c>
      <c r="AP11" s="10"/>
      <c r="AQ11" s="10"/>
      <c r="AR11" s="10"/>
      <c r="AS11" s="10"/>
      <c r="AT11" s="10"/>
      <c r="AU11" s="10"/>
      <c r="AV11" s="10"/>
      <c r="AW11" s="10"/>
      <c r="AX11" s="10"/>
      <c r="AY11" s="10"/>
      <c r="AZ11" s="10"/>
      <c r="BA11" s="10"/>
      <c r="BB11" s="10"/>
      <c r="BC11" s="10"/>
      <c r="BD11" s="10"/>
      <c r="BE11" s="10"/>
      <c r="BF11" s="11"/>
      <c r="BG11" s="21" t="str">
        <f>IF(COUNTIF([7]回答表!F19,"*")&gt;0,[7]回答表!F19,"")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IF([7]回答表!R43="●","●","")</f>
        <v/>
      </c>
      <c r="E24" s="80"/>
      <c r="F24" s="80"/>
      <c r="G24" s="80"/>
      <c r="H24" s="80"/>
      <c r="I24" s="80"/>
      <c r="J24" s="81"/>
      <c r="K24" s="79" t="str">
        <f>IF([7]回答表!R44="●","●","")</f>
        <v/>
      </c>
      <c r="L24" s="80"/>
      <c r="M24" s="80"/>
      <c r="N24" s="80"/>
      <c r="O24" s="80"/>
      <c r="P24" s="80"/>
      <c r="Q24" s="81"/>
      <c r="R24" s="79" t="str">
        <f>IF([7]回答表!R45="●","●","")</f>
        <v/>
      </c>
      <c r="S24" s="80"/>
      <c r="T24" s="80"/>
      <c r="U24" s="80"/>
      <c r="V24" s="80"/>
      <c r="W24" s="80"/>
      <c r="X24" s="81"/>
      <c r="Y24" s="79" t="str">
        <f>IF([7]回答表!R46="●","●","")</f>
        <v/>
      </c>
      <c r="Z24" s="80"/>
      <c r="AA24" s="80"/>
      <c r="AB24" s="80"/>
      <c r="AC24" s="80"/>
      <c r="AD24" s="80"/>
      <c r="AE24" s="81"/>
      <c r="AF24" s="79" t="str">
        <f>IF([7]回答表!R47="●","●","")</f>
        <v/>
      </c>
      <c r="AG24" s="80"/>
      <c r="AH24" s="80"/>
      <c r="AI24" s="80"/>
      <c r="AJ24" s="80"/>
      <c r="AK24" s="80"/>
      <c r="AL24" s="81"/>
      <c r="AM24" s="79" t="str">
        <f>IF([7]回答表!R48="●","●","")</f>
        <v/>
      </c>
      <c r="AN24" s="80"/>
      <c r="AO24" s="80"/>
      <c r="AP24" s="80"/>
      <c r="AQ24" s="80"/>
      <c r="AR24" s="80"/>
      <c r="AS24" s="81"/>
      <c r="AT24" s="79" t="str">
        <f>IF([7]回答表!R49="●","●","")</f>
        <v/>
      </c>
      <c r="AU24" s="80"/>
      <c r="AV24" s="80"/>
      <c r="AW24" s="80"/>
      <c r="AX24" s="80"/>
      <c r="AY24" s="80"/>
      <c r="AZ24" s="81"/>
      <c r="BA24" s="68"/>
      <c r="BB24" s="82" t="str">
        <f>IF([7]回答表!R50="●","●","")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IF([7]回答表!X43="●","●","")</f>
        <v/>
      </c>
      <c r="O36" s="131"/>
      <c r="P36" s="131"/>
      <c r="Q36" s="132"/>
      <c r="R36" s="119"/>
      <c r="S36" s="119"/>
      <c r="T36" s="119"/>
      <c r="U36" s="133" t="str">
        <f>IF([7]回答表!X43="●",[7]回答表!B59,IF([7]回答表!AA43="●",[7]回答表!B79,""))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IF([7]回答表!X43="●",[7]回答表!S65,IF([7]回答表!AA43="●",[7]回答表!S85,""))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IF([7]回答表!X43="●",[7]回答表!G65,IF([7]回答表!AA43="●",[7]回答表!G85,""))</f>
        <v/>
      </c>
      <c r="AN38" s="83"/>
      <c r="AO38" s="83"/>
      <c r="AP38" s="83"/>
      <c r="AQ38" s="83"/>
      <c r="AR38" s="83"/>
      <c r="AS38" s="83"/>
      <c r="AT38" s="153"/>
      <c r="AU38" s="82" t="str">
        <f>IF([7]回答表!X43="●",[7]回答表!G66,IF([7]回答表!AA43="●",[7]回答表!G86,""))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IF([7]回答表!X43="●",[7]回答表!V65,IF([7]回答表!AA43="●",[7]回答表!V85,""))</f>
        <v/>
      </c>
      <c r="BG39" s="16"/>
      <c r="BH39" s="16"/>
      <c r="BI39" s="17"/>
      <c r="BJ39" s="150" t="str">
        <f>IF([7]回答表!X43="●",[7]回答表!V66,IF([7]回答表!AA43="●",[7]回答表!V86,""))</f>
        <v/>
      </c>
      <c r="BK39" s="16"/>
      <c r="BL39" s="16"/>
      <c r="BM39" s="17"/>
      <c r="BN39" s="150" t="str">
        <f>IF([7]回答表!X43="●",[7]回答表!V67,IF([7]回答表!AA43="●",[7]回答表!V87,""))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IF([7]回答表!X43="●",[7]回答表!O71,IF([7]回答表!AA43="●",[7]回答表!O91,""))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IF([7]回答表!X43="●",[7]回答表!O72,IF([7]回答表!AA43="●",[7]回答表!O92,""))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IF([7]回答表!AA43="●","●","")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IF([7]回答表!X43="●",[7]回答表!O73,IF([7]回答表!AA43="●",[7]回答表!O93,""))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IF([7]回答表!X43="●",[7]回答表!O74,IF([7]回答表!AA43="●",[7]回答表!O94,""))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IF([7]回答表!X43="●",[7]回答表!AG71,IF([7]回答表!AA43="●",[7]回答表!AG91,""))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IF([7]回答表!X43="●",[7]回答表!AG72,IF([7]回答表!AA43="●",[7]回答表!AG92,""))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IF([7]回答表!AD43="●","●","")</f>
        <v/>
      </c>
      <c r="O51" s="131"/>
      <c r="P51" s="131"/>
      <c r="Q51" s="132"/>
      <c r="R51" s="119"/>
      <c r="S51" s="119"/>
      <c r="T51" s="119"/>
      <c r="U51" s="133" t="str">
        <f>IF([7]回答表!AD43="●",[7]回答表!B99,"")</f>
        <v/>
      </c>
      <c r="V51" s="134"/>
      <c r="W51" s="134"/>
      <c r="X51" s="134"/>
      <c r="Y51" s="134"/>
      <c r="Z51" s="134"/>
      <c r="AA51" s="134"/>
      <c r="AB51" s="134"/>
      <c r="AC51" s="134"/>
      <c r="AD51" s="134"/>
      <c r="AE51" s="134"/>
      <c r="AF51" s="134"/>
      <c r="AG51" s="134"/>
      <c r="AH51" s="134"/>
      <c r="AI51" s="134"/>
      <c r="AJ51" s="135"/>
      <c r="AK51" s="183"/>
      <c r="AL51" s="183"/>
      <c r="AM51" s="133" t="str">
        <f>IF([7]回答表!AD43="●",[7]回答表!B104,"")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IF([7]回答表!X44="●","●","")</f>
        <v/>
      </c>
      <c r="O62" s="131"/>
      <c r="P62" s="131"/>
      <c r="Q62" s="132"/>
      <c r="R62" s="119"/>
      <c r="S62" s="119"/>
      <c r="T62" s="119"/>
      <c r="U62" s="133" t="str">
        <f>IF([7]回答表!X44="●",[7]回答表!B115,IF([7]回答表!AA44="●",[7]回答表!B127,""))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IF([7]回答表!X44="●",[7]回答表!S121,IF([7]回答表!AA44="●",[7]回答表!S133,""))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IF([7]回答表!X44="●",[7]回答表!J121,IF([7]回答表!AA44="●",[7]回答表!J133,""))</f>
        <v/>
      </c>
      <c r="AN65" s="83"/>
      <c r="AO65" s="83"/>
      <c r="AP65" s="83"/>
      <c r="AQ65" s="83"/>
      <c r="AR65" s="83"/>
      <c r="AS65" s="83"/>
      <c r="AT65" s="153"/>
      <c r="AU65" s="82" t="str">
        <f>IF([7]回答表!X44="●",[7]回答表!J122,IF([7]回答表!AA44="●",[7]回答表!J134,""))</f>
        <v/>
      </c>
      <c r="AV65" s="83"/>
      <c r="AW65" s="83"/>
      <c r="AX65" s="83"/>
      <c r="AY65" s="83"/>
      <c r="AZ65" s="83"/>
      <c r="BA65" s="83"/>
      <c r="BB65" s="153"/>
      <c r="BC65" s="120"/>
      <c r="BD65" s="109"/>
      <c r="BE65" s="109"/>
      <c r="BF65" s="150" t="str">
        <f>IF([7]回答表!X44="●",[7]回答表!V121,IF([7]回答表!AA44="●",[7]回答表!V133,""))</f>
        <v/>
      </c>
      <c r="BG65" s="151"/>
      <c r="BH65" s="151"/>
      <c r="BI65" s="151"/>
      <c r="BJ65" s="150" t="str">
        <f>IF([7]回答表!X44="●",[7]回答表!V122,IF([7]回答表!AA44="●",[7]回答表!V134,""))</f>
        <v/>
      </c>
      <c r="BK65" s="151"/>
      <c r="BL65" s="151"/>
      <c r="BM65" s="151"/>
      <c r="BN65" s="150" t="str">
        <f>IF([7]回答表!X44="●",[7]回答表!V123,IF([7]回答表!AA44="●",[7]回答表!V135,""))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IF([7]回答表!AA44="●","●","")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IF([7]回答表!AD44="●","●","")</f>
        <v/>
      </c>
      <c r="O74" s="131"/>
      <c r="P74" s="131"/>
      <c r="Q74" s="132"/>
      <c r="R74" s="119"/>
      <c r="S74" s="119"/>
      <c r="T74" s="119"/>
      <c r="U74" s="133" t="str">
        <f>IF([7]回答表!AD44="●",[7]回答表!B140,"")</f>
        <v/>
      </c>
      <c r="V74" s="134"/>
      <c r="W74" s="134"/>
      <c r="X74" s="134"/>
      <c r="Y74" s="134"/>
      <c r="Z74" s="134"/>
      <c r="AA74" s="134"/>
      <c r="AB74" s="134"/>
      <c r="AC74" s="134"/>
      <c r="AD74" s="134"/>
      <c r="AE74" s="134"/>
      <c r="AF74" s="134"/>
      <c r="AG74" s="134"/>
      <c r="AH74" s="134"/>
      <c r="AI74" s="134"/>
      <c r="AJ74" s="135"/>
      <c r="AK74" s="183"/>
      <c r="AL74" s="183"/>
      <c r="AM74" s="133" t="str">
        <f>IF([7]回答表!AD44="●",[7]回答表!B146,"")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IF([7]回答表!F17="水道事業",IF([7]回答表!X45="●","●",""),"")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IF([7]回答表!F17="水道事業",IF([7]回答表!X45="●",[7]回答表!B158,IF([7]回答表!AA45="●",[7]回答表!B223,"")),"")</f>
        <v/>
      </c>
      <c r="AN86" s="201"/>
      <c r="AO86" s="201"/>
      <c r="AP86" s="201"/>
      <c r="AQ86" s="201"/>
      <c r="AR86" s="201"/>
      <c r="AS86" s="201"/>
      <c r="AT86" s="201"/>
      <c r="AU86" s="201"/>
      <c r="AV86" s="201"/>
      <c r="AW86" s="201"/>
      <c r="AX86" s="201"/>
      <c r="AY86" s="201"/>
      <c r="AZ86" s="201"/>
      <c r="BA86" s="201"/>
      <c r="BB86" s="201"/>
      <c r="BC86" s="202"/>
      <c r="BD86" s="109"/>
      <c r="BE86" s="109"/>
      <c r="BF86" s="138" t="str">
        <f>IF([7]回答表!F17="水道事業",IF([7]回答表!X45="●",[7]回答表!B212,IF([7]回答表!AA45="●",[7]回答表!B278,"")),"")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IF([7]回答表!F17="水道事業",IF([7]回答表!X45="●",[7]回答表!J166,IF([7]回答表!AA45="●",[7]回答表!J231,"")),"")</f>
        <v/>
      </c>
      <c r="V88" s="83"/>
      <c r="W88" s="83"/>
      <c r="X88" s="83"/>
      <c r="Y88" s="83"/>
      <c r="Z88" s="83"/>
      <c r="AA88" s="83"/>
      <c r="AB88" s="153"/>
      <c r="AC88" s="82" t="str">
        <f>IF([7]回答表!F17="水道事業",IF([7]回答表!X45="●",[7]回答表!J173,IF([7]回答表!AA45="●",[7]回答表!J238,"")),"")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IF([7]回答表!F17="水道事業",IF([7]回答表!X45="●",[7]回答表!E212,IF([7]回答表!AA45="●",[7]回答表!E278,"")),"")</f>
        <v/>
      </c>
      <c r="BG89" s="151"/>
      <c r="BH89" s="151"/>
      <c r="BI89" s="151"/>
      <c r="BJ89" s="150" t="str">
        <f>IF([7]回答表!F17="水道事業",IF([7]回答表!X45="●",[7]回答表!E213,IF([7]回答表!AA45="●",[7]回答表!E279,"")),"")</f>
        <v/>
      </c>
      <c r="BK89" s="151"/>
      <c r="BL89" s="151"/>
      <c r="BM89" s="151"/>
      <c r="BN89" s="150" t="str">
        <f>IF([7]回答表!F17="水道事業",IF([7]回答表!X45="●",[7]回答表!E214,IF([7]回答表!AA45="●",[7]回答表!E280,"")),"")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IF([7]回答表!F17="水道事業",IF([7]回答表!AA45="●","●",""),"")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IF([7]回答表!F17="水道事業",IF([7]回答表!X45="●",[7]回答表!J176,IF([7]回答表!AA45="●",[7]回答表!J241,"")),"")</f>
        <v/>
      </c>
      <c r="V93" s="83"/>
      <c r="W93" s="83"/>
      <c r="X93" s="83"/>
      <c r="Y93" s="83"/>
      <c r="Z93" s="83"/>
      <c r="AA93" s="83"/>
      <c r="AB93" s="153"/>
      <c r="AC93" s="82" t="str">
        <f>IF([7]回答表!F17="水道事業",IF([7]回答表!X45="●",[7]回答表!J180,IF([7]回答表!AA45="●",[7]回答表!J245,"")),"")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IF([7]回答表!F17="水道事業",IF([7]回答表!AD45="○","○",""),"")</f>
        <v/>
      </c>
      <c r="O98" s="131"/>
      <c r="P98" s="131"/>
      <c r="Q98" s="132"/>
      <c r="R98" s="119"/>
      <c r="S98" s="119"/>
      <c r="T98" s="119"/>
      <c r="U98" s="133" t="str">
        <f>IF([7]回答表!F17="水道事業",IF([7]回答表!AD45="●",[7]回答表!B289,""),"")</f>
        <v/>
      </c>
      <c r="V98" s="134"/>
      <c r="W98" s="134"/>
      <c r="X98" s="134"/>
      <c r="Y98" s="134"/>
      <c r="Z98" s="134"/>
      <c r="AA98" s="134"/>
      <c r="AB98" s="134"/>
      <c r="AC98" s="134"/>
      <c r="AD98" s="134"/>
      <c r="AE98" s="134"/>
      <c r="AF98" s="134"/>
      <c r="AG98" s="134"/>
      <c r="AH98" s="134"/>
      <c r="AI98" s="134"/>
      <c r="AJ98" s="135"/>
      <c r="AK98" s="183"/>
      <c r="AL98" s="183"/>
      <c r="AM98" s="133" t="str">
        <f>IF([7]回答表!F17="水道事業",IF([7]回答表!AD45="●",[7]回答表!B295,""),"")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IF([7]回答表!F17="簡易水道事業",IF([7]回答表!X45="●",[7]回答表!B158,IF([7]回答表!AA45="●",[7]回答表!B223,"")),"")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IF([7]回答表!F17="簡易水道事業",IF([7]回答表!X45="●",[7]回答表!B212,IF([7]回答表!AA45="●",[7]回答表!B278,"")),"")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IF([7]回答表!F17="簡易水道事業",IF([7]回答表!X45="●","●",""),"")</f>
        <v/>
      </c>
      <c r="O112" s="131"/>
      <c r="P112" s="131"/>
      <c r="Q112" s="132"/>
      <c r="R112" s="119"/>
      <c r="S112" s="119"/>
      <c r="T112" s="119"/>
      <c r="U112" s="82" t="str">
        <f>IF([7]回答表!F17="簡易水道事業",IF([7]回答表!X45="●",[7]回答表!Y185,IF([7]回答表!AA45="●",[7]回答表!Y251,"")),"")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IF([7]回答表!F17="簡易水道事業",IF([7]回答表!X45="●",[7]回答表!E212,IF([7]回答表!AA45="●",[7]回答表!E278,"")),"")</f>
        <v/>
      </c>
      <c r="BG113" s="151"/>
      <c r="BH113" s="151"/>
      <c r="BI113" s="151"/>
      <c r="BJ113" s="150" t="str">
        <f>IF([7]回答表!F17="簡易水道事業",IF([7]回答表!X45="●",[7]回答表!E213,IF([7]回答表!AA45="●",[7]回答表!E279,"")),"")</f>
        <v/>
      </c>
      <c r="BK113" s="151"/>
      <c r="BL113" s="151"/>
      <c r="BM113" s="151"/>
      <c r="BN113" s="150" t="str">
        <f>IF([7]回答表!F17="簡易水道事業",IF([7]回答表!X45="●",[7]回答表!E214,IF([7]回答表!AA45="●",[7]回答表!E280,"")),"")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IF([7]回答表!F17="簡易水道事業",IF([7]回答表!X45="●",[7]回答表!Y186,IF([7]回答表!AA45="●",[7]回答表!Y252,"")),"")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IF([7]回答表!F17="簡易水道事業",IF([7]回答表!AA45="●","●",""),"")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IF([7]回答表!F17="簡易水道事業",IF([7]回答表!X45="●",[7]回答表!Y187,IF([7]回答表!AA45="●",[7]回答表!Y253,"")),"")</f>
        <v/>
      </c>
      <c r="V122" s="83"/>
      <c r="W122" s="83"/>
      <c r="X122" s="83"/>
      <c r="Y122" s="83"/>
      <c r="Z122" s="83"/>
      <c r="AA122" s="83"/>
      <c r="AB122" s="83"/>
      <c r="AC122" s="83"/>
      <c r="AD122" s="83"/>
      <c r="AE122" s="83"/>
      <c r="AF122" s="83"/>
      <c r="AG122" s="83"/>
      <c r="AH122" s="83"/>
      <c r="AI122" s="83"/>
      <c r="AJ122" s="153"/>
      <c r="AK122" s="68"/>
      <c r="AL122" s="68"/>
      <c r="AM122" s="233" t="str">
        <f>IF([7]回答表!F17="簡易水道事業",IF([7]回答表!X45="●",[7]回答表!Y189,IF([7]回答表!AA45="●",[7]回答表!Y255,"")),"")</f>
        <v/>
      </c>
      <c r="AN122" s="233"/>
      <c r="AO122" s="233"/>
      <c r="AP122" s="233"/>
      <c r="AQ122" s="233"/>
      <c r="AR122" s="233"/>
      <c r="AS122" s="233" t="str">
        <f>IF([7]回答表!F17="簡易水道事業",IF([7]回答表!X45="●",[7]回答表!Y190,IF([7]回答表!AA45="●",[7]回答表!Y256,"")),"")</f>
        <v/>
      </c>
      <c r="AT122" s="233"/>
      <c r="AU122" s="233"/>
      <c r="AV122" s="233"/>
      <c r="AW122" s="233"/>
      <c r="AX122" s="233"/>
      <c r="AY122" s="233" t="str">
        <f>IF([7]回答表!F17="簡易水道事業",IF([7]回答表!X45="●",[7]回答表!Y191,IF([7]回答表!AA45="●",[7]回答表!Y257,"")),"")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IF([7]回答表!F17="簡易水道事業",IF([7]回答表!AD45="●","●",""),"")</f>
        <v/>
      </c>
      <c r="O127" s="131"/>
      <c r="P127" s="131"/>
      <c r="Q127" s="132"/>
      <c r="R127" s="119"/>
      <c r="S127" s="119"/>
      <c r="T127" s="119"/>
      <c r="U127" s="133" t="str">
        <f>IF([7]回答表!F17="簡易水道事業",IF([7]回答表!AD45="●",[7]回答表!B289,""),"")</f>
        <v/>
      </c>
      <c r="V127" s="134"/>
      <c r="W127" s="134"/>
      <c r="X127" s="134"/>
      <c r="Y127" s="134"/>
      <c r="Z127" s="134"/>
      <c r="AA127" s="134"/>
      <c r="AB127" s="134"/>
      <c r="AC127" s="134"/>
      <c r="AD127" s="134"/>
      <c r="AE127" s="134"/>
      <c r="AF127" s="134"/>
      <c r="AG127" s="134"/>
      <c r="AH127" s="134"/>
      <c r="AI127" s="134"/>
      <c r="AJ127" s="135"/>
      <c r="AK127" s="183"/>
      <c r="AL127" s="183"/>
      <c r="AM127" s="133" t="str">
        <f>IF([7]回答表!F17="簡易水道事業",IF([7]回答表!AD45="●",[7]回答表!B295,""),"")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IF([7]回答表!F17="下水道事業",IF([7]回答表!X45="●","●",""),"")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IF([7]回答表!F17="下水道事業",IF([7]回答表!X45="●",[7]回答表!B158,IF([7]回答表!AA45="●",[7]回答表!B223,"")),"")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IF([7]回答表!F17="下水道事業",IF([7]回答表!X45="●",[7]回答表!B212,IF([7]回答表!AA45="●",[7]回答表!B278,"")),"")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IF([7]回答表!F17="下水道事業",IF([7]回答表!X45="●",[7]回答表!Y193,IF([7]回答表!AA45="●",[7]回答表!Y259,"")),"")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IF([7]回答表!F17="下水道事業",IF([7]回答表!X45="●",[7]回答表!E212,IF([7]回答表!AA45="●",[7]回答表!E278,"")),"")</f>
        <v/>
      </c>
      <c r="BG142" s="151"/>
      <c r="BH142" s="151"/>
      <c r="BI142" s="151"/>
      <c r="BJ142" s="150" t="str">
        <f>IF([7]回答表!F17="下水道事業",IF([7]回答表!X45="●",[7]回答表!E213,IF([7]回答表!AA45="●",[7]回答表!E279,"")),"")</f>
        <v/>
      </c>
      <c r="BK142" s="151"/>
      <c r="BL142" s="151"/>
      <c r="BM142" s="151"/>
      <c r="BN142" s="150" t="str">
        <f>IF([7]回答表!F17="下水道事業",IF([7]回答表!X45="●",[7]回答表!E214,IF([7]回答表!AA45="●",[7]回答表!E280,"")),"")</f>
        <v/>
      </c>
      <c r="BO142" s="151"/>
      <c r="BP142" s="151"/>
      <c r="BQ142" s="152"/>
      <c r="BR142" s="112"/>
      <c r="BX142" s="200" t="str">
        <f>IF([7]回答表!AQ20="下水道事業",IF([7]回答表!BI48="○",[7]回答表!AM161,IF([7]回答表!BL48="○",[7]回答表!AM226,"")),"")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IF([7]回答表!F17="下水道事業",IF([7]回答表!X45="●",[7]回答表!Y195,IF([7]回答表!AA45="●",[7]回答表!Y261,"")),"")</f>
        <v/>
      </c>
      <c r="V147" s="83"/>
      <c r="W147" s="83"/>
      <c r="X147" s="83"/>
      <c r="Y147" s="83"/>
      <c r="Z147" s="83"/>
      <c r="AA147" s="83"/>
      <c r="AB147" s="153"/>
      <c r="AC147" s="82" t="str">
        <f>IF([7]回答表!F17="下水道事業",IF([7]回答表!X45="●",[7]回答表!Y196,IF([7]回答表!AA45="●",[7]回答表!Y262,"")),"")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IF([7]回答表!F17="下水道事業",IF([7]回答表!X45="●",[7]回答表!Y198,IF([7]回答表!AA45="●",[7]回答表!Y264,"")),"")</f>
        <v/>
      </c>
      <c r="V153" s="83"/>
      <c r="W153" s="83"/>
      <c r="X153" s="83"/>
      <c r="Y153" s="83"/>
      <c r="Z153" s="83"/>
      <c r="AA153" s="83"/>
      <c r="AB153" s="153"/>
      <c r="AC153" s="82" t="str">
        <f>IF([7]回答表!F17="下水道事業",IF([7]回答表!X45="●",[7]回答表!Y199,IF([7]回答表!AA45="●",[7]回答表!Y265,"")),"")</f>
        <v/>
      </c>
      <c r="AD153" s="83"/>
      <c r="AE153" s="83"/>
      <c r="AF153" s="83"/>
      <c r="AG153" s="83"/>
      <c r="AH153" s="83"/>
      <c r="AI153" s="83"/>
      <c r="AJ153" s="153"/>
      <c r="AK153" s="82" t="str">
        <f>IF([7]回答表!F17="下水道事業",IF([7]回答表!X45="●",[7]回答表!Y200,IF([7]回答表!AA45="●",[7]回答表!Y266,"")),"")</f>
        <v/>
      </c>
      <c r="AL153" s="83"/>
      <c r="AM153" s="83"/>
      <c r="AN153" s="83"/>
      <c r="AO153" s="83"/>
      <c r="AP153" s="83"/>
      <c r="AQ153" s="83"/>
      <c r="AR153" s="153"/>
      <c r="AS153" s="82" t="str">
        <f>IF([7]回答表!F17="下水道事業",IF([7]回答表!X45="●",[7]回答表!Y201,IF([7]回答表!AA45="●",[7]回答表!Y267,"")),"")</f>
        <v/>
      </c>
      <c r="AT153" s="83"/>
      <c r="AU153" s="83"/>
      <c r="AV153" s="83"/>
      <c r="AW153" s="83"/>
      <c r="AX153" s="83"/>
      <c r="AY153" s="83"/>
      <c r="AZ153" s="153"/>
      <c r="BA153" s="82" t="str">
        <f>IF([7]回答表!F17="下水道事業",IF([7]回答表!X45="●",[7]回答表!Y202,IF([7]回答表!AA45="●",[7]回答表!Y268,"")),"")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IF([7]回答表!F17="下水道事業",IF([7]回答表!AA45="●","●",""),"")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IF([7]回答表!F17="下水道事業",IF([7]回答表!X45="●",[7]回答表!Y207,IF([7]回答表!AA45="●",[7]回答表!Y273,"")),"")</f>
        <v/>
      </c>
      <c r="V159" s="83"/>
      <c r="W159" s="83"/>
      <c r="X159" s="83"/>
      <c r="Y159" s="83"/>
      <c r="Z159" s="83"/>
      <c r="AA159" s="83"/>
      <c r="AB159" s="153"/>
      <c r="AC159" s="82" t="str">
        <f>IF([7]回答表!F17="下水道事業",IF([7]回答表!X45="●",[7]回答表!Y208,IF([7]回答表!AA45="●",[7]回答表!Y274,"")),"")</f>
        <v/>
      </c>
      <c r="AD159" s="83"/>
      <c r="AE159" s="83"/>
      <c r="AF159" s="83"/>
      <c r="AG159" s="83"/>
      <c r="AH159" s="83"/>
      <c r="AI159" s="83"/>
      <c r="AJ159" s="153"/>
      <c r="AK159" s="82" t="str">
        <f>IF([7]回答表!F17="下水道事業",IF([7]回答表!X45="●",[7]回答表!Y209,IF([7]回答表!AA45="●",[7]回答表!Y275,"")),"")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IF([7]回答表!F17="下水道事業",IF([7]回答表!AD45="●","●",""),"")</f>
        <v/>
      </c>
      <c r="O164" s="131"/>
      <c r="P164" s="131"/>
      <c r="Q164" s="132"/>
      <c r="R164" s="119"/>
      <c r="S164" s="119"/>
      <c r="T164" s="119"/>
      <c r="U164" s="133" t="str">
        <f>IF([7]回答表!F17="下水道事業",IF([7]回答表!AD45="●",[7]回答表!B289,""),"")</f>
        <v/>
      </c>
      <c r="V164" s="134"/>
      <c r="W164" s="134"/>
      <c r="X164" s="134"/>
      <c r="Y164" s="134"/>
      <c r="Z164" s="134"/>
      <c r="AA164" s="134"/>
      <c r="AB164" s="134"/>
      <c r="AC164" s="134"/>
      <c r="AD164" s="134"/>
      <c r="AE164" s="134"/>
      <c r="AF164" s="134"/>
      <c r="AG164" s="134"/>
      <c r="AH164" s="134"/>
      <c r="AI164" s="134"/>
      <c r="AJ164" s="135"/>
      <c r="AK164" s="183"/>
      <c r="AL164" s="183"/>
      <c r="AM164" s="133" t="str">
        <f>IF([7]回答表!F17="下水道事業",IF([7]回答表!AD45="●",[7]回答表!B295,""),"")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IF([7]回答表!BD17="●",IF([7]回答表!X45="●","●",""),"")</f>
        <v/>
      </c>
      <c r="O176" s="131"/>
      <c r="P176" s="131"/>
      <c r="Q176" s="132"/>
      <c r="R176" s="119"/>
      <c r="S176" s="119"/>
      <c r="T176" s="119"/>
      <c r="U176" s="133" t="str">
        <f>IF([7]回答表!BD17="●",IF([7]回答表!X45="●",[7]回答表!B158,IF([7]回答表!AA45="●",[7]回答表!B223,"")),"")</f>
        <v/>
      </c>
      <c r="V176" s="134"/>
      <c r="W176" s="134"/>
      <c r="X176" s="134"/>
      <c r="Y176" s="134"/>
      <c r="Z176" s="134"/>
      <c r="AA176" s="134"/>
      <c r="AB176" s="134"/>
      <c r="AC176" s="134"/>
      <c r="AD176" s="134"/>
      <c r="AE176" s="134"/>
      <c r="AF176" s="134"/>
      <c r="AG176" s="134"/>
      <c r="AH176" s="134"/>
      <c r="AI176" s="134"/>
      <c r="AJ176" s="135"/>
      <c r="AK176" s="136"/>
      <c r="AL176" s="136"/>
      <c r="AM176" s="138" t="str">
        <f>IF([7]回答表!BD17="●",IF([7]回答表!X45="●",[7]回答表!B212,IF([7]回答表!AA45="●",[7]回答表!B278,"")),"")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IF([7]回答表!BD17="●",IF([7]回答表!X45="●",[7]回答表!E212,IF([7]回答表!AA45="●",[7]回答表!E278,"")),"")</f>
        <v/>
      </c>
      <c r="AN179" s="151"/>
      <c r="AO179" s="151"/>
      <c r="AP179" s="151"/>
      <c r="AQ179" s="150" t="str">
        <f>IF([7]回答表!BD17="●",IF([7]回答表!X45="●",[7]回答表!E213,IF([7]回答表!AA45="●",[7]回答表!E279,"")),"")</f>
        <v/>
      </c>
      <c r="AR179" s="151"/>
      <c r="AS179" s="151"/>
      <c r="AT179" s="151"/>
      <c r="AU179" s="150" t="str">
        <f>IF([7]回答表!BD17="●",IF([7]回答表!X45="●",[7]回答表!E214,IF([7]回答表!AA45="●",[7]回答表!E280,"")),"")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IF([7]回答表!BD17="●",IF([7]回答表!AA45="●","●",""),"")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IF([7]回答表!BD17="●",IF([7]回答表!AD45="●","●",""),"")</f>
        <v/>
      </c>
      <c r="O188" s="131"/>
      <c r="P188" s="131"/>
      <c r="Q188" s="132"/>
      <c r="R188" s="119"/>
      <c r="S188" s="119"/>
      <c r="T188" s="119"/>
      <c r="U188" s="133" t="str">
        <f>IF([7]回答表!BD17="●",IF([7]回答表!AD45="●",[7]回答表!B289,""),"")</f>
        <v/>
      </c>
      <c r="V188" s="134"/>
      <c r="W188" s="134"/>
      <c r="X188" s="134"/>
      <c r="Y188" s="134"/>
      <c r="Z188" s="134"/>
      <c r="AA188" s="134"/>
      <c r="AB188" s="134"/>
      <c r="AC188" s="134"/>
      <c r="AD188" s="134"/>
      <c r="AE188" s="134"/>
      <c r="AF188" s="134"/>
      <c r="AG188" s="134"/>
      <c r="AH188" s="134"/>
      <c r="AI188" s="134"/>
      <c r="AJ188" s="135"/>
      <c r="AK188" s="183"/>
      <c r="AL188" s="183"/>
      <c r="AM188" s="133" t="str">
        <f>IF([7]回答表!BD17="●",IF([7]回答表!AD45="●",[7]回答表!B295,""),"")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IF([7]回答表!X46="●","●","")</f>
        <v/>
      </c>
      <c r="O200" s="131"/>
      <c r="P200" s="131"/>
      <c r="Q200" s="132"/>
      <c r="R200" s="119"/>
      <c r="S200" s="119"/>
      <c r="T200" s="119"/>
      <c r="U200" s="133" t="str">
        <f>IF([7]回答表!X46="●",[7]回答表!B307,IF([7]回答表!AA46="●",[7]回答表!B324,""))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IF([7]回答表!X46="●",[7]回答表!U313,IF([7]回答表!AA46="●",[7]回答表!U330,""))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IF([7]回答表!X46="●",[7]回答表!G313,IF([7]回答表!AA46="●",[7]回答表!G330,""))</f>
        <v/>
      </c>
      <c r="AN203" s="83"/>
      <c r="AO203" s="83"/>
      <c r="AP203" s="83"/>
      <c r="AQ203" s="83"/>
      <c r="AR203" s="83"/>
      <c r="AS203" s="83"/>
      <c r="AT203" s="153"/>
      <c r="AU203" s="82" t="str">
        <f>IF([7]回答表!X46="●",[7]回答表!G314,IF([7]回答表!AA46="●",[7]回答表!G331,""))</f>
        <v/>
      </c>
      <c r="AV203" s="83"/>
      <c r="AW203" s="83"/>
      <c r="AX203" s="83"/>
      <c r="AY203" s="83"/>
      <c r="AZ203" s="83"/>
      <c r="BA203" s="83"/>
      <c r="BB203" s="153"/>
      <c r="BC203" s="120"/>
      <c r="BD203" s="109"/>
      <c r="BE203" s="109"/>
      <c r="BF203" s="150" t="str">
        <f>IF([7]回答表!X46="●",[7]回答表!X313,IF([7]回答表!AA46="●",[7]回答表!X330,""))</f>
        <v/>
      </c>
      <c r="BG203" s="151"/>
      <c r="BH203" s="151"/>
      <c r="BI203" s="151"/>
      <c r="BJ203" s="150" t="str">
        <f>IF([7]回答表!X46="●",[7]回答表!X314,IF([7]回答表!AA46="●",[7]回答表!X331,""))</f>
        <v/>
      </c>
      <c r="BK203" s="151"/>
      <c r="BL203" s="151"/>
      <c r="BM203" s="152"/>
      <c r="BN203" s="150" t="str">
        <f>IF([7]回答表!X46="●",[7]回答表!X315,IF([7]回答表!AA46="●",[7]回答表!X332,""))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IF([7]回答表!AA46="●","●","")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IF([7]回答表!AD46="●","●","")</f>
        <v/>
      </c>
      <c r="O212" s="131"/>
      <c r="P212" s="131"/>
      <c r="Q212" s="132"/>
      <c r="R212" s="119"/>
      <c r="S212" s="119"/>
      <c r="T212" s="119"/>
      <c r="U212" s="133" t="str">
        <f>IF([7]回答表!AD46="●",[7]回答表!B337,"")</f>
        <v/>
      </c>
      <c r="V212" s="134"/>
      <c r="W212" s="134"/>
      <c r="X212" s="134"/>
      <c r="Y212" s="134"/>
      <c r="Z212" s="134"/>
      <c r="AA212" s="134"/>
      <c r="AB212" s="134"/>
      <c r="AC212" s="134"/>
      <c r="AD212" s="134"/>
      <c r="AE212" s="134"/>
      <c r="AF212" s="134"/>
      <c r="AG212" s="134"/>
      <c r="AH212" s="134"/>
      <c r="AI212" s="134"/>
      <c r="AJ212" s="135"/>
      <c r="AK212" s="259"/>
      <c r="AL212" s="259"/>
      <c r="AM212" s="133" t="str">
        <f>IF([7]回答表!AD46="●",[7]回答表!B343,"")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IF([7]回答表!X47="●","●","")</f>
        <v/>
      </c>
      <c r="O224" s="131"/>
      <c r="P224" s="131"/>
      <c r="Q224" s="132"/>
      <c r="R224" s="119"/>
      <c r="S224" s="119"/>
      <c r="T224" s="119"/>
      <c r="U224" s="133" t="str">
        <f>IF([7]回答表!X47="●",[7]回答表!B356,IF([7]回答表!AA47="●",[7]回答表!B379,""))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IF([7]回答表!X47="●",[7]回答表!B362,"")</f>
        <v/>
      </c>
      <c r="AO224" s="263"/>
      <c r="AP224" s="263"/>
      <c r="AQ224" s="263"/>
      <c r="AR224" s="263"/>
      <c r="AS224" s="263"/>
      <c r="AT224" s="263"/>
      <c r="AU224" s="263"/>
      <c r="AV224" s="263"/>
      <c r="AW224" s="263"/>
      <c r="AX224" s="263"/>
      <c r="AY224" s="263"/>
      <c r="AZ224" s="263"/>
      <c r="BA224" s="263"/>
      <c r="BB224" s="264"/>
      <c r="BC224" s="120"/>
      <c r="BD224" s="109"/>
      <c r="BE224" s="109"/>
      <c r="BF224" s="138" t="str">
        <f>IF([7]回答表!X47="●",[7]回答表!B368,IF([7]回答表!AA47="●",[7]回答表!B385,""))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IF([7]回答表!X47="●",[7]回答表!E368,IF([7]回答表!AA47="●",[7]回答表!E385,""))</f>
        <v/>
      </c>
      <c r="BG227" s="151"/>
      <c r="BH227" s="151"/>
      <c r="BI227" s="151"/>
      <c r="BJ227" s="150" t="str">
        <f>IF([7]回答表!X47="●",[7]回答表!E369,IF([7]回答表!AA47="●",[7]回答表!E386,""))</f>
        <v/>
      </c>
      <c r="BK227" s="151"/>
      <c r="BL227" s="151"/>
      <c r="BM227" s="152"/>
      <c r="BN227" s="150" t="str">
        <f>IF([7]回答表!X47="●",[7]回答表!E370,IF([7]回答表!AA47="●",[7]回答表!E387,""))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IF([7]回答表!AA47="●","●","")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IF([7]回答表!AD47="●","●","")</f>
        <v/>
      </c>
      <c r="O236" s="131"/>
      <c r="P236" s="131"/>
      <c r="Q236" s="132"/>
      <c r="R236" s="119"/>
      <c r="S236" s="119"/>
      <c r="T236" s="119"/>
      <c r="U236" s="133" t="str">
        <f>IF([7]回答表!AD47="●",[7]回答表!B392,"")</f>
        <v/>
      </c>
      <c r="V236" s="134"/>
      <c r="W236" s="134"/>
      <c r="X236" s="134"/>
      <c r="Y236" s="134"/>
      <c r="Z236" s="134"/>
      <c r="AA236" s="134"/>
      <c r="AB236" s="134"/>
      <c r="AC236" s="134"/>
      <c r="AD236" s="134"/>
      <c r="AE236" s="134"/>
      <c r="AF236" s="134"/>
      <c r="AG236" s="134"/>
      <c r="AH236" s="134"/>
      <c r="AI236" s="134"/>
      <c r="AJ236" s="135"/>
      <c r="AK236" s="259"/>
      <c r="AL236" s="259"/>
      <c r="AM236" s="133" t="str">
        <f>IF([7]回答表!AD47="●",[7]回答表!B398,"")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IF([7]回答表!X48="●","●","")</f>
        <v/>
      </c>
      <c r="O248" s="131"/>
      <c r="P248" s="131"/>
      <c r="Q248" s="132"/>
      <c r="R248" s="119"/>
      <c r="S248" s="119"/>
      <c r="T248" s="119"/>
      <c r="U248" s="133" t="str">
        <f>IF([7]回答表!X48="●",[7]回答表!B411,IF([7]回答表!AA48="●",[7]回答表!B425,""))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IF([7]回答表!X48="●",[7]回答表!BC418,IF([7]回答表!AA48="●",[7]回答表!BC432,""))</f>
        <v/>
      </c>
      <c r="AR248" s="272"/>
      <c r="AS248" s="272"/>
      <c r="AT248" s="272"/>
      <c r="AU248" s="273" t="s">
        <v>73</v>
      </c>
      <c r="AV248" s="274"/>
      <c r="AW248" s="274"/>
      <c r="AX248" s="275"/>
      <c r="AY248" s="272" t="str">
        <f>IF([7]回答表!X48="●",[7]回答表!BC423,IF([7]回答表!AA48="●",[7]回答表!BC437,""))</f>
        <v/>
      </c>
      <c r="AZ248" s="272"/>
      <c r="BA248" s="272"/>
      <c r="BB248" s="272"/>
      <c r="BC248" s="120"/>
      <c r="BD248" s="109"/>
      <c r="BE248" s="109"/>
      <c r="BF248" s="138" t="str">
        <f>IF([7]回答表!X48="●",[7]回答表!S417,IF([7]回答表!AA48="●",[7]回答表!S431,""))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IF([7]回答表!X48="●",[7]回答表!BC419,IF([7]回答表!AA48="●",[7]回答表!BC433,""))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IF([7]回答表!X48="●",[7]回答表!V417,IF([7]回答表!AA48="●",[7]回答表!V431,""))</f>
        <v/>
      </c>
      <c r="BG251" s="151"/>
      <c r="BH251" s="151"/>
      <c r="BI251" s="151"/>
      <c r="BJ251" s="150" t="str">
        <f>IF([7]回答表!X48="●",[7]回答表!V418,IF([7]回答表!AA48="●",[7]回答表!V432,""))</f>
        <v/>
      </c>
      <c r="BK251" s="151"/>
      <c r="BL251" s="151"/>
      <c r="BM251" s="152"/>
      <c r="BN251" s="150" t="str">
        <f>IF([7]回答表!X48="●",[7]回答表!V419,IF([7]回答表!AA48="●",[7]回答表!V433,""))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IF([7]回答表!X48="●",[7]回答表!BC420,IF([7]回答表!AA48="●",[7]回答表!BC434,""))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IF([7]回答表!X48="●",[7]回答表!BC424,IF([7]回答表!AA48="●",[7]回答表!BC438,""))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IF([7]回答表!AA48="●","●","")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IF([7]回答表!X48="●",[7]回答表!BC421,IF([7]回答表!AA48="●",[7]回答表!BC435,""))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IF([7]回答表!X48="●",[7]回答表!BC422,IF([7]回答表!AA48="●",[7]回答表!BC436,""))</f>
        <v/>
      </c>
      <c r="AR256" s="272"/>
      <c r="AS256" s="272"/>
      <c r="AT256" s="272"/>
      <c r="AU256" s="224" t="s">
        <v>79</v>
      </c>
      <c r="AV256" s="225"/>
      <c r="AW256" s="225"/>
      <c r="AX256" s="226"/>
      <c r="AY256" s="282" t="str">
        <f>IF([7]回答表!X48="●",[7]回答表!BC425,IF([7]回答表!AA48="●",[7]回答表!BC439,""))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IF([7]回答表!AD48="●","●","")</f>
        <v/>
      </c>
      <c r="O260" s="131"/>
      <c r="P260" s="131"/>
      <c r="Q260" s="132"/>
      <c r="R260" s="119"/>
      <c r="S260" s="119"/>
      <c r="T260" s="119"/>
      <c r="U260" s="133" t="str">
        <f>IF([7]回答表!AD48="●",[7]回答表!B439,"")</f>
        <v/>
      </c>
      <c r="V260" s="134"/>
      <c r="W260" s="134"/>
      <c r="X260" s="134"/>
      <c r="Y260" s="134"/>
      <c r="Z260" s="134"/>
      <c r="AA260" s="134"/>
      <c r="AB260" s="134"/>
      <c r="AC260" s="134"/>
      <c r="AD260" s="134"/>
      <c r="AE260" s="134"/>
      <c r="AF260" s="134"/>
      <c r="AG260" s="134"/>
      <c r="AH260" s="134"/>
      <c r="AI260" s="134"/>
      <c r="AJ260" s="135"/>
      <c r="AK260" s="183"/>
      <c r="AL260" s="183"/>
      <c r="AM260" s="133" t="str">
        <f>IF([7]回答表!AD48="●",[7]回答表!B445,"")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IF([7]回答表!X49="●","●","")</f>
        <v/>
      </c>
      <c r="O271" s="131"/>
      <c r="P271" s="131"/>
      <c r="Q271" s="132"/>
      <c r="R271" s="119"/>
      <c r="S271" s="119"/>
      <c r="T271" s="119"/>
      <c r="U271" s="133" t="str">
        <f>IF([7]回答表!X49="●",[7]回答表!B458,IF([7]回答表!AA49="●",[7]回答表!B475,""))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IF([7]回答表!X49="●",[7]回答表!B468,IF([7]回答表!AA49="●",[7]回答表!B485,""))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IF([7]回答表!X49="●",[7]回答表!G464,IF([7]回答表!AA49="●",[7]回答表!G481,""))</f>
        <v/>
      </c>
      <c r="AN273" s="83"/>
      <c r="AO273" s="83"/>
      <c r="AP273" s="83"/>
      <c r="AQ273" s="83"/>
      <c r="AR273" s="83"/>
      <c r="AS273" s="83"/>
      <c r="AT273" s="153"/>
      <c r="AU273" s="82" t="str">
        <f>IF([7]回答表!X49="●",[7]回答表!G465,IF([7]回答表!AA49="●",[7]回答表!G482,""))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IF([7]回答表!X49="●",[7]回答表!E468,IF([7]回答表!AA49="●",[7]回答表!E485,""))</f>
        <v/>
      </c>
      <c r="BG274" s="151"/>
      <c r="BH274" s="151"/>
      <c r="BI274" s="151"/>
      <c r="BJ274" s="150" t="str">
        <f>IF([7]回答表!X49="●",[7]回答表!E469,IF([7]回答表!AA49="●",[7]回答表!E486,""))</f>
        <v/>
      </c>
      <c r="BK274" s="151"/>
      <c r="BL274" s="151"/>
      <c r="BM274" s="152"/>
      <c r="BN274" s="150" t="str">
        <f>IF([7]回答表!X49="●",[7]回答表!E470,IF([7]回答表!AA49="●",[7]回答表!E487,""))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IF([7]回答表!AA49="●","●","")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IF([7]回答表!AD49="●","●","")</f>
        <v/>
      </c>
      <c r="O283" s="131"/>
      <c r="P283" s="131"/>
      <c r="Q283" s="132"/>
      <c r="R283" s="119"/>
      <c r="S283" s="119"/>
      <c r="T283" s="119"/>
      <c r="U283" s="133" t="str">
        <f>IF([7]回答表!AD49="●",[7]回答表!B492,"")</f>
        <v/>
      </c>
      <c r="V283" s="134"/>
      <c r="W283" s="134"/>
      <c r="X283" s="134"/>
      <c r="Y283" s="134"/>
      <c r="Z283" s="134"/>
      <c r="AA283" s="134"/>
      <c r="AB283" s="134"/>
      <c r="AC283" s="134"/>
      <c r="AD283" s="134"/>
      <c r="AE283" s="134"/>
      <c r="AF283" s="134"/>
      <c r="AG283" s="134"/>
      <c r="AH283" s="134"/>
      <c r="AI283" s="134"/>
      <c r="AJ283" s="135"/>
      <c r="AK283" s="136"/>
      <c r="AL283" s="136"/>
      <c r="AM283" s="133" t="str">
        <f>IF([7]回答表!AD49="●",[7]回答表!B498,"")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IF([7]回答表!R50="●",[7]回答表!B511,"")</f>
        <v>現在、当市において、特定地域排水処理施設の事業については完了しており、市町村設置型の浄化槽の維持管理を行っている。健全な事業運営が実施できているため現行の経営体制・手法で継続していく予定であ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84734-D165-4EEB-847E-EECD64F1097E}">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IF(COUNTIF([8]回答表!K15,"*")&gt;0,[8]回答表!K15,"")</f>
        <v>大仙市</v>
      </c>
      <c r="D11" s="8"/>
      <c r="E11" s="8"/>
      <c r="F11" s="8"/>
      <c r="G11" s="8"/>
      <c r="H11" s="8"/>
      <c r="I11" s="8"/>
      <c r="J11" s="8"/>
      <c r="K11" s="8"/>
      <c r="L11" s="8"/>
      <c r="M11" s="8"/>
      <c r="N11" s="8"/>
      <c r="O11" s="8"/>
      <c r="P11" s="8"/>
      <c r="Q11" s="8"/>
      <c r="R11" s="8"/>
      <c r="S11" s="8"/>
      <c r="T11" s="8"/>
      <c r="U11" s="22" t="str">
        <f>IF(COUNTIF([8]回答表!F17,"*")&gt;0,[8]回答表!F17,"")</f>
        <v>電気事業</v>
      </c>
      <c r="V11" s="23"/>
      <c r="W11" s="23"/>
      <c r="X11" s="23"/>
      <c r="Y11" s="23"/>
      <c r="Z11" s="23"/>
      <c r="AA11" s="23"/>
      <c r="AB11" s="23"/>
      <c r="AC11" s="23"/>
      <c r="AD11" s="23"/>
      <c r="AE11" s="23"/>
      <c r="AF11" s="10"/>
      <c r="AG11" s="10"/>
      <c r="AH11" s="10"/>
      <c r="AI11" s="10"/>
      <c r="AJ11" s="10"/>
      <c r="AK11" s="10"/>
      <c r="AL11" s="10"/>
      <c r="AM11" s="10"/>
      <c r="AN11" s="11"/>
      <c r="AO11" s="24" t="str">
        <f>IF(COUNTIF([8]回答表!W17,"*")&gt;0,[8]回答表!W17,"")</f>
        <v>―</v>
      </c>
      <c r="AP11" s="10"/>
      <c r="AQ11" s="10"/>
      <c r="AR11" s="10"/>
      <c r="AS11" s="10"/>
      <c r="AT11" s="10"/>
      <c r="AU11" s="10"/>
      <c r="AV11" s="10"/>
      <c r="AW11" s="10"/>
      <c r="AX11" s="10"/>
      <c r="AY11" s="10"/>
      <c r="AZ11" s="10"/>
      <c r="BA11" s="10"/>
      <c r="BB11" s="10"/>
      <c r="BC11" s="10"/>
      <c r="BD11" s="10"/>
      <c r="BE11" s="10"/>
      <c r="BF11" s="11"/>
      <c r="BG11" s="21" t="str">
        <f>IF(COUNTIF([8]回答表!F19,"*")&gt;0,[8]回答表!F19,"")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IF([8]回答表!R43="●","●","")</f>
        <v/>
      </c>
      <c r="E24" s="80"/>
      <c r="F24" s="80"/>
      <c r="G24" s="80"/>
      <c r="H24" s="80"/>
      <c r="I24" s="80"/>
      <c r="J24" s="81"/>
      <c r="K24" s="79" t="str">
        <f>IF([8]回答表!R44="●","●","")</f>
        <v/>
      </c>
      <c r="L24" s="80"/>
      <c r="M24" s="80"/>
      <c r="N24" s="80"/>
      <c r="O24" s="80"/>
      <c r="P24" s="80"/>
      <c r="Q24" s="81"/>
      <c r="R24" s="79" t="str">
        <f>IF([8]回答表!R45="●","●","")</f>
        <v/>
      </c>
      <c r="S24" s="80"/>
      <c r="T24" s="80"/>
      <c r="U24" s="80"/>
      <c r="V24" s="80"/>
      <c r="W24" s="80"/>
      <c r="X24" s="81"/>
      <c r="Y24" s="79" t="str">
        <f>IF([8]回答表!R46="●","●","")</f>
        <v/>
      </c>
      <c r="Z24" s="80"/>
      <c r="AA24" s="80"/>
      <c r="AB24" s="80"/>
      <c r="AC24" s="80"/>
      <c r="AD24" s="80"/>
      <c r="AE24" s="81"/>
      <c r="AF24" s="79" t="str">
        <f>IF([8]回答表!R47="●","●","")</f>
        <v/>
      </c>
      <c r="AG24" s="80"/>
      <c r="AH24" s="80"/>
      <c r="AI24" s="80"/>
      <c r="AJ24" s="80"/>
      <c r="AK24" s="80"/>
      <c r="AL24" s="81"/>
      <c r="AM24" s="79" t="str">
        <f>IF([8]回答表!R48="●","●","")</f>
        <v/>
      </c>
      <c r="AN24" s="80"/>
      <c r="AO24" s="80"/>
      <c r="AP24" s="80"/>
      <c r="AQ24" s="80"/>
      <c r="AR24" s="80"/>
      <c r="AS24" s="81"/>
      <c r="AT24" s="79" t="str">
        <f>IF([8]回答表!R49="●","●","")</f>
        <v/>
      </c>
      <c r="AU24" s="80"/>
      <c r="AV24" s="80"/>
      <c r="AW24" s="80"/>
      <c r="AX24" s="80"/>
      <c r="AY24" s="80"/>
      <c r="AZ24" s="81"/>
      <c r="BA24" s="68"/>
      <c r="BB24" s="82" t="str">
        <f>IF([8]回答表!R50="●","●","")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IF([8]回答表!X43="●","●","")</f>
        <v/>
      </c>
      <c r="O36" s="131"/>
      <c r="P36" s="131"/>
      <c r="Q36" s="132"/>
      <c r="R36" s="119"/>
      <c r="S36" s="119"/>
      <c r="T36" s="119"/>
      <c r="U36" s="133" t="str">
        <f>IF([8]回答表!X43="●",[8]回答表!B59,IF([8]回答表!AA43="●",[8]回答表!B79,""))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IF([8]回答表!X43="●",[8]回答表!S65,IF([8]回答表!AA43="●",[8]回答表!S85,""))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IF([8]回答表!X43="●",[8]回答表!G65,IF([8]回答表!AA43="●",[8]回答表!G85,""))</f>
        <v/>
      </c>
      <c r="AN38" s="83"/>
      <c r="AO38" s="83"/>
      <c r="AP38" s="83"/>
      <c r="AQ38" s="83"/>
      <c r="AR38" s="83"/>
      <c r="AS38" s="83"/>
      <c r="AT38" s="153"/>
      <c r="AU38" s="82" t="str">
        <f>IF([8]回答表!X43="●",[8]回答表!G66,IF([8]回答表!AA43="●",[8]回答表!G86,""))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IF([8]回答表!X43="●",[8]回答表!V65,IF([8]回答表!AA43="●",[8]回答表!V85,""))</f>
        <v/>
      </c>
      <c r="BG39" s="16"/>
      <c r="BH39" s="16"/>
      <c r="BI39" s="17"/>
      <c r="BJ39" s="150" t="str">
        <f>IF([8]回答表!X43="●",[8]回答表!V66,IF([8]回答表!AA43="●",[8]回答表!V86,""))</f>
        <v/>
      </c>
      <c r="BK39" s="16"/>
      <c r="BL39" s="16"/>
      <c r="BM39" s="17"/>
      <c r="BN39" s="150" t="str">
        <f>IF([8]回答表!X43="●",[8]回答表!V67,IF([8]回答表!AA43="●",[8]回答表!V87,""))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IF([8]回答表!X43="●",[8]回答表!O71,IF([8]回答表!AA43="●",[8]回答表!O91,""))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IF([8]回答表!X43="●",[8]回答表!O72,IF([8]回答表!AA43="●",[8]回答表!O92,""))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IF([8]回答表!AA43="●","●","")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IF([8]回答表!X43="●",[8]回答表!O73,IF([8]回答表!AA43="●",[8]回答表!O93,""))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IF([8]回答表!X43="●",[8]回答表!O74,IF([8]回答表!AA43="●",[8]回答表!O94,""))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IF([8]回答表!X43="●",[8]回答表!AG71,IF([8]回答表!AA43="●",[8]回答表!AG91,""))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IF([8]回答表!X43="●",[8]回答表!AG72,IF([8]回答表!AA43="●",[8]回答表!AG92,""))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IF([8]回答表!AD43="●","●","")</f>
        <v/>
      </c>
      <c r="O51" s="131"/>
      <c r="P51" s="131"/>
      <c r="Q51" s="132"/>
      <c r="R51" s="119"/>
      <c r="S51" s="119"/>
      <c r="T51" s="119"/>
      <c r="U51" s="133" t="str">
        <f>IF([8]回答表!AD43="●",[8]回答表!B99,"")</f>
        <v/>
      </c>
      <c r="V51" s="134"/>
      <c r="W51" s="134"/>
      <c r="X51" s="134"/>
      <c r="Y51" s="134"/>
      <c r="Z51" s="134"/>
      <c r="AA51" s="134"/>
      <c r="AB51" s="134"/>
      <c r="AC51" s="134"/>
      <c r="AD51" s="134"/>
      <c r="AE51" s="134"/>
      <c r="AF51" s="134"/>
      <c r="AG51" s="134"/>
      <c r="AH51" s="134"/>
      <c r="AI51" s="134"/>
      <c r="AJ51" s="135"/>
      <c r="AK51" s="183"/>
      <c r="AL51" s="183"/>
      <c r="AM51" s="133" t="str">
        <f>IF([8]回答表!AD43="●",[8]回答表!B104,"")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IF([8]回答表!X44="●","●","")</f>
        <v/>
      </c>
      <c r="O62" s="131"/>
      <c r="P62" s="131"/>
      <c r="Q62" s="132"/>
      <c r="R62" s="119"/>
      <c r="S62" s="119"/>
      <c r="T62" s="119"/>
      <c r="U62" s="133" t="str">
        <f>IF([8]回答表!X44="●",[8]回答表!B115,IF([8]回答表!AA44="●",[8]回答表!B127,""))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IF([8]回答表!X44="●",[8]回答表!S121,IF([8]回答表!AA44="●",[8]回答表!S133,""))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IF([8]回答表!X44="●",[8]回答表!J121,IF([8]回答表!AA44="●",[8]回答表!J133,""))</f>
        <v/>
      </c>
      <c r="AN65" s="83"/>
      <c r="AO65" s="83"/>
      <c r="AP65" s="83"/>
      <c r="AQ65" s="83"/>
      <c r="AR65" s="83"/>
      <c r="AS65" s="83"/>
      <c r="AT65" s="153"/>
      <c r="AU65" s="82" t="str">
        <f>IF([8]回答表!X44="●",[8]回答表!J122,IF([8]回答表!AA44="●",[8]回答表!J134,""))</f>
        <v/>
      </c>
      <c r="AV65" s="83"/>
      <c r="AW65" s="83"/>
      <c r="AX65" s="83"/>
      <c r="AY65" s="83"/>
      <c r="AZ65" s="83"/>
      <c r="BA65" s="83"/>
      <c r="BB65" s="153"/>
      <c r="BC65" s="120"/>
      <c r="BD65" s="109"/>
      <c r="BE65" s="109"/>
      <c r="BF65" s="150" t="str">
        <f>IF([8]回答表!X44="●",[8]回答表!V121,IF([8]回答表!AA44="●",[8]回答表!V133,""))</f>
        <v/>
      </c>
      <c r="BG65" s="151"/>
      <c r="BH65" s="151"/>
      <c r="BI65" s="151"/>
      <c r="BJ65" s="150" t="str">
        <f>IF([8]回答表!X44="●",[8]回答表!V122,IF([8]回答表!AA44="●",[8]回答表!V134,""))</f>
        <v/>
      </c>
      <c r="BK65" s="151"/>
      <c r="BL65" s="151"/>
      <c r="BM65" s="151"/>
      <c r="BN65" s="150" t="str">
        <f>IF([8]回答表!X44="●",[8]回答表!V123,IF([8]回答表!AA44="●",[8]回答表!V135,""))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IF([8]回答表!AA44="●","●","")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IF([8]回答表!AD44="●","●","")</f>
        <v/>
      </c>
      <c r="O74" s="131"/>
      <c r="P74" s="131"/>
      <c r="Q74" s="132"/>
      <c r="R74" s="119"/>
      <c r="S74" s="119"/>
      <c r="T74" s="119"/>
      <c r="U74" s="133" t="str">
        <f>IF([8]回答表!AD44="●",[8]回答表!B140,"")</f>
        <v/>
      </c>
      <c r="V74" s="134"/>
      <c r="W74" s="134"/>
      <c r="X74" s="134"/>
      <c r="Y74" s="134"/>
      <c r="Z74" s="134"/>
      <c r="AA74" s="134"/>
      <c r="AB74" s="134"/>
      <c r="AC74" s="134"/>
      <c r="AD74" s="134"/>
      <c r="AE74" s="134"/>
      <c r="AF74" s="134"/>
      <c r="AG74" s="134"/>
      <c r="AH74" s="134"/>
      <c r="AI74" s="134"/>
      <c r="AJ74" s="135"/>
      <c r="AK74" s="183"/>
      <c r="AL74" s="183"/>
      <c r="AM74" s="133" t="str">
        <f>IF([8]回答表!AD44="●",[8]回答表!B146,"")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IF([8]回答表!F17="水道事業",IF([8]回答表!X45="●","●",""),"")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IF([8]回答表!F17="水道事業",IF([8]回答表!X45="●",[8]回答表!B158,IF([8]回答表!AA45="●",[8]回答表!B223,"")),"")</f>
        <v/>
      </c>
      <c r="AN86" s="201"/>
      <c r="AO86" s="201"/>
      <c r="AP86" s="201"/>
      <c r="AQ86" s="201"/>
      <c r="AR86" s="201"/>
      <c r="AS86" s="201"/>
      <c r="AT86" s="201"/>
      <c r="AU86" s="201"/>
      <c r="AV86" s="201"/>
      <c r="AW86" s="201"/>
      <c r="AX86" s="201"/>
      <c r="AY86" s="201"/>
      <c r="AZ86" s="201"/>
      <c r="BA86" s="201"/>
      <c r="BB86" s="201"/>
      <c r="BC86" s="202"/>
      <c r="BD86" s="109"/>
      <c r="BE86" s="109"/>
      <c r="BF86" s="138" t="str">
        <f>IF([8]回答表!F17="水道事業",IF([8]回答表!X45="●",[8]回答表!B212,IF([8]回答表!AA45="●",[8]回答表!B278,"")),"")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IF([8]回答表!F17="水道事業",IF([8]回答表!X45="●",[8]回答表!J166,IF([8]回答表!AA45="●",[8]回答表!J231,"")),"")</f>
        <v/>
      </c>
      <c r="V88" s="83"/>
      <c r="W88" s="83"/>
      <c r="X88" s="83"/>
      <c r="Y88" s="83"/>
      <c r="Z88" s="83"/>
      <c r="AA88" s="83"/>
      <c r="AB88" s="153"/>
      <c r="AC88" s="82" t="str">
        <f>IF([8]回答表!F17="水道事業",IF([8]回答表!X45="●",[8]回答表!J173,IF([8]回答表!AA45="●",[8]回答表!J238,"")),"")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IF([8]回答表!F17="水道事業",IF([8]回答表!X45="●",[8]回答表!E212,IF([8]回答表!AA45="●",[8]回答表!E278,"")),"")</f>
        <v/>
      </c>
      <c r="BG89" s="151"/>
      <c r="BH89" s="151"/>
      <c r="BI89" s="151"/>
      <c r="BJ89" s="150" t="str">
        <f>IF([8]回答表!F17="水道事業",IF([8]回答表!X45="●",[8]回答表!E213,IF([8]回答表!AA45="●",[8]回答表!E279,"")),"")</f>
        <v/>
      </c>
      <c r="BK89" s="151"/>
      <c r="BL89" s="151"/>
      <c r="BM89" s="151"/>
      <c r="BN89" s="150" t="str">
        <f>IF([8]回答表!F17="水道事業",IF([8]回答表!X45="●",[8]回答表!E214,IF([8]回答表!AA45="●",[8]回答表!E280,"")),"")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IF([8]回答表!F17="水道事業",IF([8]回答表!AA45="●","●",""),"")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IF([8]回答表!F17="水道事業",IF([8]回答表!X45="●",[8]回答表!J176,IF([8]回答表!AA45="●",[8]回答表!J241,"")),"")</f>
        <v/>
      </c>
      <c r="V93" s="83"/>
      <c r="W93" s="83"/>
      <c r="X93" s="83"/>
      <c r="Y93" s="83"/>
      <c r="Z93" s="83"/>
      <c r="AA93" s="83"/>
      <c r="AB93" s="153"/>
      <c r="AC93" s="82" t="str">
        <f>IF([8]回答表!F17="水道事業",IF([8]回答表!X45="●",[8]回答表!J180,IF([8]回答表!AA45="●",[8]回答表!J245,"")),"")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IF([8]回答表!F17="水道事業",IF([8]回答表!AD45="○","○",""),"")</f>
        <v/>
      </c>
      <c r="O98" s="131"/>
      <c r="P98" s="131"/>
      <c r="Q98" s="132"/>
      <c r="R98" s="119"/>
      <c r="S98" s="119"/>
      <c r="T98" s="119"/>
      <c r="U98" s="133" t="str">
        <f>IF([8]回答表!F17="水道事業",IF([8]回答表!AD45="●",[8]回答表!B289,""),"")</f>
        <v/>
      </c>
      <c r="V98" s="134"/>
      <c r="W98" s="134"/>
      <c r="X98" s="134"/>
      <c r="Y98" s="134"/>
      <c r="Z98" s="134"/>
      <c r="AA98" s="134"/>
      <c r="AB98" s="134"/>
      <c r="AC98" s="134"/>
      <c r="AD98" s="134"/>
      <c r="AE98" s="134"/>
      <c r="AF98" s="134"/>
      <c r="AG98" s="134"/>
      <c r="AH98" s="134"/>
      <c r="AI98" s="134"/>
      <c r="AJ98" s="135"/>
      <c r="AK98" s="183"/>
      <c r="AL98" s="183"/>
      <c r="AM98" s="133" t="str">
        <f>IF([8]回答表!F17="水道事業",IF([8]回答表!AD45="●",[8]回答表!B295,""),"")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IF([8]回答表!F17="簡易水道事業",IF([8]回答表!X45="●",[8]回答表!B158,IF([8]回答表!AA45="●",[8]回答表!B223,"")),"")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IF([8]回答表!F17="簡易水道事業",IF([8]回答表!X45="●",[8]回答表!B212,IF([8]回答表!AA45="●",[8]回答表!B278,"")),"")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IF([8]回答表!F17="簡易水道事業",IF([8]回答表!X45="●","●",""),"")</f>
        <v/>
      </c>
      <c r="O112" s="131"/>
      <c r="P112" s="131"/>
      <c r="Q112" s="132"/>
      <c r="R112" s="119"/>
      <c r="S112" s="119"/>
      <c r="T112" s="119"/>
      <c r="U112" s="82" t="str">
        <f>IF([8]回答表!F17="簡易水道事業",IF([8]回答表!X45="●",[8]回答表!Y185,IF([8]回答表!AA45="●",[8]回答表!Y251,"")),"")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IF([8]回答表!F17="簡易水道事業",IF([8]回答表!X45="●",[8]回答表!E212,IF([8]回答表!AA45="●",[8]回答表!E278,"")),"")</f>
        <v/>
      </c>
      <c r="BG113" s="151"/>
      <c r="BH113" s="151"/>
      <c r="BI113" s="151"/>
      <c r="BJ113" s="150" t="str">
        <f>IF([8]回答表!F17="簡易水道事業",IF([8]回答表!X45="●",[8]回答表!E213,IF([8]回答表!AA45="●",[8]回答表!E279,"")),"")</f>
        <v/>
      </c>
      <c r="BK113" s="151"/>
      <c r="BL113" s="151"/>
      <c r="BM113" s="151"/>
      <c r="BN113" s="150" t="str">
        <f>IF([8]回答表!F17="簡易水道事業",IF([8]回答表!X45="●",[8]回答表!E214,IF([8]回答表!AA45="●",[8]回答表!E280,"")),"")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IF([8]回答表!F17="簡易水道事業",IF([8]回答表!X45="●",[8]回答表!Y186,IF([8]回答表!AA45="●",[8]回答表!Y252,"")),"")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IF([8]回答表!F17="簡易水道事業",IF([8]回答表!AA45="●","●",""),"")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IF([8]回答表!F17="簡易水道事業",IF([8]回答表!X45="●",[8]回答表!Y187,IF([8]回答表!AA45="●",[8]回答表!Y253,"")),"")</f>
        <v/>
      </c>
      <c r="V122" s="83"/>
      <c r="W122" s="83"/>
      <c r="X122" s="83"/>
      <c r="Y122" s="83"/>
      <c r="Z122" s="83"/>
      <c r="AA122" s="83"/>
      <c r="AB122" s="83"/>
      <c r="AC122" s="83"/>
      <c r="AD122" s="83"/>
      <c r="AE122" s="83"/>
      <c r="AF122" s="83"/>
      <c r="AG122" s="83"/>
      <c r="AH122" s="83"/>
      <c r="AI122" s="83"/>
      <c r="AJ122" s="153"/>
      <c r="AK122" s="68"/>
      <c r="AL122" s="68"/>
      <c r="AM122" s="233" t="str">
        <f>IF([8]回答表!F17="簡易水道事業",IF([8]回答表!X45="●",[8]回答表!Y189,IF([8]回答表!AA45="●",[8]回答表!Y255,"")),"")</f>
        <v/>
      </c>
      <c r="AN122" s="233"/>
      <c r="AO122" s="233"/>
      <c r="AP122" s="233"/>
      <c r="AQ122" s="233"/>
      <c r="AR122" s="233"/>
      <c r="AS122" s="233" t="str">
        <f>IF([8]回答表!F17="簡易水道事業",IF([8]回答表!X45="●",[8]回答表!Y190,IF([8]回答表!AA45="●",[8]回答表!Y256,"")),"")</f>
        <v/>
      </c>
      <c r="AT122" s="233"/>
      <c r="AU122" s="233"/>
      <c r="AV122" s="233"/>
      <c r="AW122" s="233"/>
      <c r="AX122" s="233"/>
      <c r="AY122" s="233" t="str">
        <f>IF([8]回答表!F17="簡易水道事業",IF([8]回答表!X45="●",[8]回答表!Y191,IF([8]回答表!AA45="●",[8]回答表!Y257,"")),"")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IF([8]回答表!F17="簡易水道事業",IF([8]回答表!AD45="●","●",""),"")</f>
        <v/>
      </c>
      <c r="O127" s="131"/>
      <c r="P127" s="131"/>
      <c r="Q127" s="132"/>
      <c r="R127" s="119"/>
      <c r="S127" s="119"/>
      <c r="T127" s="119"/>
      <c r="U127" s="133" t="str">
        <f>IF([8]回答表!F17="簡易水道事業",IF([8]回答表!AD45="●",[8]回答表!B289,""),"")</f>
        <v/>
      </c>
      <c r="V127" s="134"/>
      <c r="W127" s="134"/>
      <c r="X127" s="134"/>
      <c r="Y127" s="134"/>
      <c r="Z127" s="134"/>
      <c r="AA127" s="134"/>
      <c r="AB127" s="134"/>
      <c r="AC127" s="134"/>
      <c r="AD127" s="134"/>
      <c r="AE127" s="134"/>
      <c r="AF127" s="134"/>
      <c r="AG127" s="134"/>
      <c r="AH127" s="134"/>
      <c r="AI127" s="134"/>
      <c r="AJ127" s="135"/>
      <c r="AK127" s="183"/>
      <c r="AL127" s="183"/>
      <c r="AM127" s="133" t="str">
        <f>IF([8]回答表!F17="簡易水道事業",IF([8]回答表!AD45="●",[8]回答表!B295,""),"")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IF([8]回答表!F17="下水道事業",IF([8]回答表!X45="●","●",""),"")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IF([8]回答表!F17="下水道事業",IF([8]回答表!X45="●",[8]回答表!B158,IF([8]回答表!AA45="●",[8]回答表!B223,"")),"")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IF([8]回答表!F17="下水道事業",IF([8]回答表!X45="●",[8]回答表!B212,IF([8]回答表!AA45="●",[8]回答表!B278,"")),"")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IF([8]回答表!F17="下水道事業",IF([8]回答表!X45="●",[8]回答表!Y193,IF([8]回答表!AA45="●",[8]回答表!Y259,"")),"")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IF([8]回答表!F17="下水道事業",IF([8]回答表!X45="●",[8]回答表!E212,IF([8]回答表!AA45="●",[8]回答表!E278,"")),"")</f>
        <v/>
      </c>
      <c r="BG142" s="151"/>
      <c r="BH142" s="151"/>
      <c r="BI142" s="151"/>
      <c r="BJ142" s="150" t="str">
        <f>IF([8]回答表!F17="下水道事業",IF([8]回答表!X45="●",[8]回答表!E213,IF([8]回答表!AA45="●",[8]回答表!E279,"")),"")</f>
        <v/>
      </c>
      <c r="BK142" s="151"/>
      <c r="BL142" s="151"/>
      <c r="BM142" s="151"/>
      <c r="BN142" s="150" t="str">
        <f>IF([8]回答表!F17="下水道事業",IF([8]回答表!X45="●",[8]回答表!E214,IF([8]回答表!AA45="●",[8]回答表!E280,"")),"")</f>
        <v/>
      </c>
      <c r="BO142" s="151"/>
      <c r="BP142" s="151"/>
      <c r="BQ142" s="152"/>
      <c r="BR142" s="112"/>
      <c r="BX142" s="200" t="str">
        <f>IF([8]回答表!AQ20="下水道事業",IF([8]回答表!BI48="○",[8]回答表!AM161,IF([8]回答表!BL48="○",[8]回答表!AM226,"")),"")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IF([8]回答表!F17="下水道事業",IF([8]回答表!X45="●",[8]回答表!Y195,IF([8]回答表!AA45="●",[8]回答表!Y261,"")),"")</f>
        <v/>
      </c>
      <c r="V147" s="83"/>
      <c r="W147" s="83"/>
      <c r="X147" s="83"/>
      <c r="Y147" s="83"/>
      <c r="Z147" s="83"/>
      <c r="AA147" s="83"/>
      <c r="AB147" s="153"/>
      <c r="AC147" s="82" t="str">
        <f>IF([8]回答表!F17="下水道事業",IF([8]回答表!X45="●",[8]回答表!Y196,IF([8]回答表!AA45="●",[8]回答表!Y262,"")),"")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IF([8]回答表!F17="下水道事業",IF([8]回答表!X45="●",[8]回答表!Y198,IF([8]回答表!AA45="●",[8]回答表!Y264,"")),"")</f>
        <v/>
      </c>
      <c r="V153" s="83"/>
      <c r="W153" s="83"/>
      <c r="X153" s="83"/>
      <c r="Y153" s="83"/>
      <c r="Z153" s="83"/>
      <c r="AA153" s="83"/>
      <c r="AB153" s="153"/>
      <c r="AC153" s="82" t="str">
        <f>IF([8]回答表!F17="下水道事業",IF([8]回答表!X45="●",[8]回答表!Y199,IF([8]回答表!AA45="●",[8]回答表!Y265,"")),"")</f>
        <v/>
      </c>
      <c r="AD153" s="83"/>
      <c r="AE153" s="83"/>
      <c r="AF153" s="83"/>
      <c r="AG153" s="83"/>
      <c r="AH153" s="83"/>
      <c r="AI153" s="83"/>
      <c r="AJ153" s="153"/>
      <c r="AK153" s="82" t="str">
        <f>IF([8]回答表!F17="下水道事業",IF([8]回答表!X45="●",[8]回答表!Y200,IF([8]回答表!AA45="●",[8]回答表!Y266,"")),"")</f>
        <v/>
      </c>
      <c r="AL153" s="83"/>
      <c r="AM153" s="83"/>
      <c r="AN153" s="83"/>
      <c r="AO153" s="83"/>
      <c r="AP153" s="83"/>
      <c r="AQ153" s="83"/>
      <c r="AR153" s="153"/>
      <c r="AS153" s="82" t="str">
        <f>IF([8]回答表!F17="下水道事業",IF([8]回答表!X45="●",[8]回答表!Y201,IF([8]回答表!AA45="●",[8]回答表!Y267,"")),"")</f>
        <v/>
      </c>
      <c r="AT153" s="83"/>
      <c r="AU153" s="83"/>
      <c r="AV153" s="83"/>
      <c r="AW153" s="83"/>
      <c r="AX153" s="83"/>
      <c r="AY153" s="83"/>
      <c r="AZ153" s="153"/>
      <c r="BA153" s="82" t="str">
        <f>IF([8]回答表!F17="下水道事業",IF([8]回答表!X45="●",[8]回答表!Y202,IF([8]回答表!AA45="●",[8]回答表!Y268,"")),"")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IF([8]回答表!F17="下水道事業",IF([8]回答表!AA45="●","●",""),"")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IF([8]回答表!F17="下水道事業",IF([8]回答表!X45="●",[8]回答表!Y207,IF([8]回答表!AA45="●",[8]回答表!Y273,"")),"")</f>
        <v/>
      </c>
      <c r="V159" s="83"/>
      <c r="W159" s="83"/>
      <c r="X159" s="83"/>
      <c r="Y159" s="83"/>
      <c r="Z159" s="83"/>
      <c r="AA159" s="83"/>
      <c r="AB159" s="153"/>
      <c r="AC159" s="82" t="str">
        <f>IF([8]回答表!F17="下水道事業",IF([8]回答表!X45="●",[8]回答表!Y208,IF([8]回答表!AA45="●",[8]回答表!Y274,"")),"")</f>
        <v/>
      </c>
      <c r="AD159" s="83"/>
      <c r="AE159" s="83"/>
      <c r="AF159" s="83"/>
      <c r="AG159" s="83"/>
      <c r="AH159" s="83"/>
      <c r="AI159" s="83"/>
      <c r="AJ159" s="153"/>
      <c r="AK159" s="82" t="str">
        <f>IF([8]回答表!F17="下水道事業",IF([8]回答表!X45="●",[8]回答表!Y209,IF([8]回答表!AA45="●",[8]回答表!Y275,"")),"")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IF([8]回答表!F17="下水道事業",IF([8]回答表!AD45="●","●",""),"")</f>
        <v/>
      </c>
      <c r="O164" s="131"/>
      <c r="P164" s="131"/>
      <c r="Q164" s="132"/>
      <c r="R164" s="119"/>
      <c r="S164" s="119"/>
      <c r="T164" s="119"/>
      <c r="U164" s="133" t="str">
        <f>IF([8]回答表!F17="下水道事業",IF([8]回答表!AD45="●",[8]回答表!B289,""),"")</f>
        <v/>
      </c>
      <c r="V164" s="134"/>
      <c r="W164" s="134"/>
      <c r="X164" s="134"/>
      <c r="Y164" s="134"/>
      <c r="Z164" s="134"/>
      <c r="AA164" s="134"/>
      <c r="AB164" s="134"/>
      <c r="AC164" s="134"/>
      <c r="AD164" s="134"/>
      <c r="AE164" s="134"/>
      <c r="AF164" s="134"/>
      <c r="AG164" s="134"/>
      <c r="AH164" s="134"/>
      <c r="AI164" s="134"/>
      <c r="AJ164" s="135"/>
      <c r="AK164" s="183"/>
      <c r="AL164" s="183"/>
      <c r="AM164" s="133" t="str">
        <f>IF([8]回答表!F17="下水道事業",IF([8]回答表!AD45="●",[8]回答表!B295,""),"")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IF([8]回答表!BD17="●",IF([8]回答表!X45="●","●",""),"")</f>
        <v/>
      </c>
      <c r="O176" s="131"/>
      <c r="P176" s="131"/>
      <c r="Q176" s="132"/>
      <c r="R176" s="119"/>
      <c r="S176" s="119"/>
      <c r="T176" s="119"/>
      <c r="U176" s="133" t="str">
        <f>IF([8]回答表!BD17="●",IF([8]回答表!X45="●",[8]回答表!B158,IF([8]回答表!AA45="●",[8]回答表!B223,"")),"")</f>
        <v/>
      </c>
      <c r="V176" s="134"/>
      <c r="W176" s="134"/>
      <c r="X176" s="134"/>
      <c r="Y176" s="134"/>
      <c r="Z176" s="134"/>
      <c r="AA176" s="134"/>
      <c r="AB176" s="134"/>
      <c r="AC176" s="134"/>
      <c r="AD176" s="134"/>
      <c r="AE176" s="134"/>
      <c r="AF176" s="134"/>
      <c r="AG176" s="134"/>
      <c r="AH176" s="134"/>
      <c r="AI176" s="134"/>
      <c r="AJ176" s="135"/>
      <c r="AK176" s="136"/>
      <c r="AL176" s="136"/>
      <c r="AM176" s="138" t="str">
        <f>IF([8]回答表!BD17="●",IF([8]回答表!X45="●",[8]回答表!B212,IF([8]回答表!AA45="●",[8]回答表!B278,"")),"")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IF([8]回答表!BD17="●",IF([8]回答表!X45="●",[8]回答表!E212,IF([8]回答表!AA45="●",[8]回答表!E278,"")),"")</f>
        <v/>
      </c>
      <c r="AN179" s="151"/>
      <c r="AO179" s="151"/>
      <c r="AP179" s="151"/>
      <c r="AQ179" s="150" t="str">
        <f>IF([8]回答表!BD17="●",IF([8]回答表!X45="●",[8]回答表!E213,IF([8]回答表!AA45="●",[8]回答表!E279,"")),"")</f>
        <v/>
      </c>
      <c r="AR179" s="151"/>
      <c r="AS179" s="151"/>
      <c r="AT179" s="151"/>
      <c r="AU179" s="150" t="str">
        <f>IF([8]回答表!BD17="●",IF([8]回答表!X45="●",[8]回答表!E214,IF([8]回答表!AA45="●",[8]回答表!E280,"")),"")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IF([8]回答表!BD17="●",IF([8]回答表!AA45="●","●",""),"")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IF([8]回答表!BD17="●",IF([8]回答表!AD45="●","●",""),"")</f>
        <v/>
      </c>
      <c r="O188" s="131"/>
      <c r="P188" s="131"/>
      <c r="Q188" s="132"/>
      <c r="R188" s="119"/>
      <c r="S188" s="119"/>
      <c r="T188" s="119"/>
      <c r="U188" s="133" t="str">
        <f>IF([8]回答表!BD17="●",IF([8]回答表!AD45="●",[8]回答表!B289,""),"")</f>
        <v/>
      </c>
      <c r="V188" s="134"/>
      <c r="W188" s="134"/>
      <c r="X188" s="134"/>
      <c r="Y188" s="134"/>
      <c r="Z188" s="134"/>
      <c r="AA188" s="134"/>
      <c r="AB188" s="134"/>
      <c r="AC188" s="134"/>
      <c r="AD188" s="134"/>
      <c r="AE188" s="134"/>
      <c r="AF188" s="134"/>
      <c r="AG188" s="134"/>
      <c r="AH188" s="134"/>
      <c r="AI188" s="134"/>
      <c r="AJ188" s="135"/>
      <c r="AK188" s="183"/>
      <c r="AL188" s="183"/>
      <c r="AM188" s="133" t="str">
        <f>IF([8]回答表!BD17="●",IF([8]回答表!AD45="●",[8]回答表!B295,""),"")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IF([8]回答表!X46="●","●","")</f>
        <v/>
      </c>
      <c r="O200" s="131"/>
      <c r="P200" s="131"/>
      <c r="Q200" s="132"/>
      <c r="R200" s="119"/>
      <c r="S200" s="119"/>
      <c r="T200" s="119"/>
      <c r="U200" s="133" t="str">
        <f>IF([8]回答表!X46="●",[8]回答表!B307,IF([8]回答表!AA46="●",[8]回答表!B324,""))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IF([8]回答表!X46="●",[8]回答表!U313,IF([8]回答表!AA46="●",[8]回答表!U330,""))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IF([8]回答表!X46="●",[8]回答表!G313,IF([8]回答表!AA46="●",[8]回答表!G330,""))</f>
        <v/>
      </c>
      <c r="AN203" s="83"/>
      <c r="AO203" s="83"/>
      <c r="AP203" s="83"/>
      <c r="AQ203" s="83"/>
      <c r="AR203" s="83"/>
      <c r="AS203" s="83"/>
      <c r="AT203" s="153"/>
      <c r="AU203" s="82" t="str">
        <f>IF([8]回答表!X46="●",[8]回答表!G314,IF([8]回答表!AA46="●",[8]回答表!G331,""))</f>
        <v/>
      </c>
      <c r="AV203" s="83"/>
      <c r="AW203" s="83"/>
      <c r="AX203" s="83"/>
      <c r="AY203" s="83"/>
      <c r="AZ203" s="83"/>
      <c r="BA203" s="83"/>
      <c r="BB203" s="153"/>
      <c r="BC203" s="120"/>
      <c r="BD203" s="109"/>
      <c r="BE203" s="109"/>
      <c r="BF203" s="150" t="str">
        <f>IF([8]回答表!X46="●",[8]回答表!X313,IF([8]回答表!AA46="●",[8]回答表!X330,""))</f>
        <v/>
      </c>
      <c r="BG203" s="151"/>
      <c r="BH203" s="151"/>
      <c r="BI203" s="151"/>
      <c r="BJ203" s="150" t="str">
        <f>IF([8]回答表!X46="●",[8]回答表!X314,IF([8]回答表!AA46="●",[8]回答表!X331,""))</f>
        <v/>
      </c>
      <c r="BK203" s="151"/>
      <c r="BL203" s="151"/>
      <c r="BM203" s="152"/>
      <c r="BN203" s="150" t="str">
        <f>IF([8]回答表!X46="●",[8]回答表!X315,IF([8]回答表!AA46="●",[8]回答表!X332,""))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IF([8]回答表!AA46="●","●","")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IF([8]回答表!AD46="●","●","")</f>
        <v/>
      </c>
      <c r="O212" s="131"/>
      <c r="P212" s="131"/>
      <c r="Q212" s="132"/>
      <c r="R212" s="119"/>
      <c r="S212" s="119"/>
      <c r="T212" s="119"/>
      <c r="U212" s="133" t="str">
        <f>IF([8]回答表!AD46="●",[8]回答表!B337,"")</f>
        <v/>
      </c>
      <c r="V212" s="134"/>
      <c r="W212" s="134"/>
      <c r="X212" s="134"/>
      <c r="Y212" s="134"/>
      <c r="Z212" s="134"/>
      <c r="AA212" s="134"/>
      <c r="AB212" s="134"/>
      <c r="AC212" s="134"/>
      <c r="AD212" s="134"/>
      <c r="AE212" s="134"/>
      <c r="AF212" s="134"/>
      <c r="AG212" s="134"/>
      <c r="AH212" s="134"/>
      <c r="AI212" s="134"/>
      <c r="AJ212" s="135"/>
      <c r="AK212" s="259"/>
      <c r="AL212" s="259"/>
      <c r="AM212" s="133" t="str">
        <f>IF([8]回答表!AD46="●",[8]回答表!B343,"")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IF([8]回答表!X47="●","●","")</f>
        <v/>
      </c>
      <c r="O224" s="131"/>
      <c r="P224" s="131"/>
      <c r="Q224" s="132"/>
      <c r="R224" s="119"/>
      <c r="S224" s="119"/>
      <c r="T224" s="119"/>
      <c r="U224" s="133" t="str">
        <f>IF([8]回答表!X47="●",[8]回答表!B356,IF([8]回答表!AA47="●",[8]回答表!B379,""))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IF([8]回答表!X47="●",[8]回答表!B362,"")</f>
        <v/>
      </c>
      <c r="AO224" s="263"/>
      <c r="AP224" s="263"/>
      <c r="AQ224" s="263"/>
      <c r="AR224" s="263"/>
      <c r="AS224" s="263"/>
      <c r="AT224" s="263"/>
      <c r="AU224" s="263"/>
      <c r="AV224" s="263"/>
      <c r="AW224" s="263"/>
      <c r="AX224" s="263"/>
      <c r="AY224" s="263"/>
      <c r="AZ224" s="263"/>
      <c r="BA224" s="263"/>
      <c r="BB224" s="264"/>
      <c r="BC224" s="120"/>
      <c r="BD224" s="109"/>
      <c r="BE224" s="109"/>
      <c r="BF224" s="138" t="str">
        <f>IF([8]回答表!X47="●",[8]回答表!B368,IF([8]回答表!AA47="●",[8]回答表!B385,""))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IF([8]回答表!X47="●",[8]回答表!E368,IF([8]回答表!AA47="●",[8]回答表!E385,""))</f>
        <v/>
      </c>
      <c r="BG227" s="151"/>
      <c r="BH227" s="151"/>
      <c r="BI227" s="151"/>
      <c r="BJ227" s="150" t="str">
        <f>IF([8]回答表!X47="●",[8]回答表!E369,IF([8]回答表!AA47="●",[8]回答表!E386,""))</f>
        <v/>
      </c>
      <c r="BK227" s="151"/>
      <c r="BL227" s="151"/>
      <c r="BM227" s="152"/>
      <c r="BN227" s="150" t="str">
        <f>IF([8]回答表!X47="●",[8]回答表!E370,IF([8]回答表!AA47="●",[8]回答表!E387,""))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IF([8]回答表!AA47="●","●","")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IF([8]回答表!AD47="●","●","")</f>
        <v/>
      </c>
      <c r="O236" s="131"/>
      <c r="P236" s="131"/>
      <c r="Q236" s="132"/>
      <c r="R236" s="119"/>
      <c r="S236" s="119"/>
      <c r="T236" s="119"/>
      <c r="U236" s="133" t="str">
        <f>IF([8]回答表!AD47="●",[8]回答表!B392,"")</f>
        <v/>
      </c>
      <c r="V236" s="134"/>
      <c r="W236" s="134"/>
      <c r="X236" s="134"/>
      <c r="Y236" s="134"/>
      <c r="Z236" s="134"/>
      <c r="AA236" s="134"/>
      <c r="AB236" s="134"/>
      <c r="AC236" s="134"/>
      <c r="AD236" s="134"/>
      <c r="AE236" s="134"/>
      <c r="AF236" s="134"/>
      <c r="AG236" s="134"/>
      <c r="AH236" s="134"/>
      <c r="AI236" s="134"/>
      <c r="AJ236" s="135"/>
      <c r="AK236" s="259"/>
      <c r="AL236" s="259"/>
      <c r="AM236" s="133" t="str">
        <f>IF([8]回答表!AD47="●",[8]回答表!B398,"")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IF([8]回答表!X48="●","●","")</f>
        <v/>
      </c>
      <c r="O248" s="131"/>
      <c r="P248" s="131"/>
      <c r="Q248" s="132"/>
      <c r="R248" s="119"/>
      <c r="S248" s="119"/>
      <c r="T248" s="119"/>
      <c r="U248" s="133" t="str">
        <f>IF([8]回答表!X48="●",[8]回答表!B411,IF([8]回答表!AA48="●",[8]回答表!B425,""))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IF([8]回答表!X48="●",[8]回答表!BC418,IF([8]回答表!AA48="●",[8]回答表!BC432,""))</f>
        <v/>
      </c>
      <c r="AR248" s="272"/>
      <c r="AS248" s="272"/>
      <c r="AT248" s="272"/>
      <c r="AU248" s="273" t="s">
        <v>73</v>
      </c>
      <c r="AV248" s="274"/>
      <c r="AW248" s="274"/>
      <c r="AX248" s="275"/>
      <c r="AY248" s="272" t="str">
        <f>IF([8]回答表!X48="●",[8]回答表!BC423,IF([8]回答表!AA48="●",[8]回答表!BC437,""))</f>
        <v/>
      </c>
      <c r="AZ248" s="272"/>
      <c r="BA248" s="272"/>
      <c r="BB248" s="272"/>
      <c r="BC248" s="120"/>
      <c r="BD248" s="109"/>
      <c r="BE248" s="109"/>
      <c r="BF248" s="138" t="str">
        <f>IF([8]回答表!X48="●",[8]回答表!S417,IF([8]回答表!AA48="●",[8]回答表!S431,""))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IF([8]回答表!X48="●",[8]回答表!BC419,IF([8]回答表!AA48="●",[8]回答表!BC433,""))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IF([8]回答表!X48="●",[8]回答表!V417,IF([8]回答表!AA48="●",[8]回答表!V431,""))</f>
        <v/>
      </c>
      <c r="BG251" s="151"/>
      <c r="BH251" s="151"/>
      <c r="BI251" s="151"/>
      <c r="BJ251" s="150" t="str">
        <f>IF([8]回答表!X48="●",[8]回答表!V418,IF([8]回答表!AA48="●",[8]回答表!V432,""))</f>
        <v/>
      </c>
      <c r="BK251" s="151"/>
      <c r="BL251" s="151"/>
      <c r="BM251" s="152"/>
      <c r="BN251" s="150" t="str">
        <f>IF([8]回答表!X48="●",[8]回答表!V419,IF([8]回答表!AA48="●",[8]回答表!V433,""))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IF([8]回答表!X48="●",[8]回答表!BC420,IF([8]回答表!AA48="●",[8]回答表!BC434,""))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IF([8]回答表!X48="●",[8]回答表!BC424,IF([8]回答表!AA48="●",[8]回答表!BC438,""))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IF([8]回答表!AA48="●","●","")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IF([8]回答表!X48="●",[8]回答表!BC421,IF([8]回答表!AA48="●",[8]回答表!BC435,""))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IF([8]回答表!X48="●",[8]回答表!BC422,IF([8]回答表!AA48="●",[8]回答表!BC436,""))</f>
        <v/>
      </c>
      <c r="AR256" s="272"/>
      <c r="AS256" s="272"/>
      <c r="AT256" s="272"/>
      <c r="AU256" s="224" t="s">
        <v>79</v>
      </c>
      <c r="AV256" s="225"/>
      <c r="AW256" s="225"/>
      <c r="AX256" s="226"/>
      <c r="AY256" s="282" t="str">
        <f>IF([8]回答表!X48="●",[8]回答表!BC425,IF([8]回答表!AA48="●",[8]回答表!BC439,""))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IF([8]回答表!AD48="●","●","")</f>
        <v/>
      </c>
      <c r="O260" s="131"/>
      <c r="P260" s="131"/>
      <c r="Q260" s="132"/>
      <c r="R260" s="119"/>
      <c r="S260" s="119"/>
      <c r="T260" s="119"/>
      <c r="U260" s="133" t="str">
        <f>IF([8]回答表!AD48="●",[8]回答表!B439,"")</f>
        <v/>
      </c>
      <c r="V260" s="134"/>
      <c r="W260" s="134"/>
      <c r="X260" s="134"/>
      <c r="Y260" s="134"/>
      <c r="Z260" s="134"/>
      <c r="AA260" s="134"/>
      <c r="AB260" s="134"/>
      <c r="AC260" s="134"/>
      <c r="AD260" s="134"/>
      <c r="AE260" s="134"/>
      <c r="AF260" s="134"/>
      <c r="AG260" s="134"/>
      <c r="AH260" s="134"/>
      <c r="AI260" s="134"/>
      <c r="AJ260" s="135"/>
      <c r="AK260" s="183"/>
      <c r="AL260" s="183"/>
      <c r="AM260" s="133" t="str">
        <f>IF([8]回答表!AD48="●",[8]回答表!B445,"")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IF([8]回答表!X49="●","●","")</f>
        <v/>
      </c>
      <c r="O271" s="131"/>
      <c r="P271" s="131"/>
      <c r="Q271" s="132"/>
      <c r="R271" s="119"/>
      <c r="S271" s="119"/>
      <c r="T271" s="119"/>
      <c r="U271" s="133" t="str">
        <f>IF([8]回答表!X49="●",[8]回答表!B458,IF([8]回答表!AA49="●",[8]回答表!B475,""))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IF([8]回答表!X49="●",[8]回答表!B468,IF([8]回答表!AA49="●",[8]回答表!B485,""))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IF([8]回答表!X49="●",[8]回答表!G464,IF([8]回答表!AA49="●",[8]回答表!G481,""))</f>
        <v/>
      </c>
      <c r="AN273" s="83"/>
      <c r="AO273" s="83"/>
      <c r="AP273" s="83"/>
      <c r="AQ273" s="83"/>
      <c r="AR273" s="83"/>
      <c r="AS273" s="83"/>
      <c r="AT273" s="153"/>
      <c r="AU273" s="82" t="str">
        <f>IF([8]回答表!X49="●",[8]回答表!G465,IF([8]回答表!AA49="●",[8]回答表!G482,""))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IF([8]回答表!X49="●",[8]回答表!E468,IF([8]回答表!AA49="●",[8]回答表!E485,""))</f>
        <v/>
      </c>
      <c r="BG274" s="151"/>
      <c r="BH274" s="151"/>
      <c r="BI274" s="151"/>
      <c r="BJ274" s="150" t="str">
        <f>IF([8]回答表!X49="●",[8]回答表!E469,IF([8]回答表!AA49="●",[8]回答表!E486,""))</f>
        <v/>
      </c>
      <c r="BK274" s="151"/>
      <c r="BL274" s="151"/>
      <c r="BM274" s="152"/>
      <c r="BN274" s="150" t="str">
        <f>IF([8]回答表!X49="●",[8]回答表!E470,IF([8]回答表!AA49="●",[8]回答表!E487,""))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IF([8]回答表!AA49="●","●","")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IF([8]回答表!AD49="●","●","")</f>
        <v/>
      </c>
      <c r="O283" s="131"/>
      <c r="P283" s="131"/>
      <c r="Q283" s="132"/>
      <c r="R283" s="119"/>
      <c r="S283" s="119"/>
      <c r="T283" s="119"/>
      <c r="U283" s="133" t="str">
        <f>IF([8]回答表!AD49="●",[8]回答表!B492,"")</f>
        <v/>
      </c>
      <c r="V283" s="134"/>
      <c r="W283" s="134"/>
      <c r="X283" s="134"/>
      <c r="Y283" s="134"/>
      <c r="Z283" s="134"/>
      <c r="AA283" s="134"/>
      <c r="AB283" s="134"/>
      <c r="AC283" s="134"/>
      <c r="AD283" s="134"/>
      <c r="AE283" s="134"/>
      <c r="AF283" s="134"/>
      <c r="AG283" s="134"/>
      <c r="AH283" s="134"/>
      <c r="AI283" s="134"/>
      <c r="AJ283" s="135"/>
      <c r="AK283" s="136"/>
      <c r="AL283" s="136"/>
      <c r="AM283" s="133" t="str">
        <f>IF([8]回答表!AD49="●",[8]回答表!B498,"")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e">
        <f>IF([8]回答表!R50="●",[8]回答表!#REF!,"")</f>
        <v>#REF!</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5" priority="2">
      <formula>$BB$25="○"</formula>
    </cfRule>
  </conditionalFormatting>
  <conditionalFormatting sqref="BD28:BD30">
    <cfRule type="expression" dxfId="1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701D8-E803-4599-BF2E-44C826236AE2}">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IF(COUNTIF([9]回答表!K15,"*")&gt;0,[9]回答表!K15,"")</f>
        <v>大仙市</v>
      </c>
      <c r="D11" s="8"/>
      <c r="E11" s="8"/>
      <c r="F11" s="8"/>
      <c r="G11" s="8"/>
      <c r="H11" s="8"/>
      <c r="I11" s="8"/>
      <c r="J11" s="8"/>
      <c r="K11" s="8"/>
      <c r="L11" s="8"/>
      <c r="M11" s="8"/>
      <c r="N11" s="8"/>
      <c r="O11" s="8"/>
      <c r="P11" s="8"/>
      <c r="Q11" s="8"/>
      <c r="R11" s="8"/>
      <c r="S11" s="8"/>
      <c r="T11" s="8"/>
      <c r="U11" s="22" t="str">
        <f>IF(COUNTIF([9]回答表!F17,"*")&gt;0,[9]回答表!F17,"")</f>
        <v>電気事業</v>
      </c>
      <c r="V11" s="23"/>
      <c r="W11" s="23"/>
      <c r="X11" s="23"/>
      <c r="Y11" s="23"/>
      <c r="Z11" s="23"/>
      <c r="AA11" s="23"/>
      <c r="AB11" s="23"/>
      <c r="AC11" s="23"/>
      <c r="AD11" s="23"/>
      <c r="AE11" s="23"/>
      <c r="AF11" s="10"/>
      <c r="AG11" s="10"/>
      <c r="AH11" s="10"/>
      <c r="AI11" s="10"/>
      <c r="AJ11" s="10"/>
      <c r="AK11" s="10"/>
      <c r="AL11" s="10"/>
      <c r="AM11" s="10"/>
      <c r="AN11" s="11"/>
      <c r="AO11" s="24" t="str">
        <f>IF(COUNTIF([9]回答表!W17,"*")&gt;0,[9]回答表!W17,"")</f>
        <v>―</v>
      </c>
      <c r="AP11" s="10"/>
      <c r="AQ11" s="10"/>
      <c r="AR11" s="10"/>
      <c r="AS11" s="10"/>
      <c r="AT11" s="10"/>
      <c r="AU11" s="10"/>
      <c r="AV11" s="10"/>
      <c r="AW11" s="10"/>
      <c r="AX11" s="10"/>
      <c r="AY11" s="10"/>
      <c r="AZ11" s="10"/>
      <c r="BA11" s="10"/>
      <c r="BB11" s="10"/>
      <c r="BC11" s="10"/>
      <c r="BD11" s="10"/>
      <c r="BE11" s="10"/>
      <c r="BF11" s="11"/>
      <c r="BG11" s="21" t="str">
        <f>IF(COUNTIF([9]回答表!F19,"*")&gt;0,[9]回答表!F19,"")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IF([9]回答表!R43="●","●","")</f>
        <v/>
      </c>
      <c r="E24" s="80"/>
      <c r="F24" s="80"/>
      <c r="G24" s="80"/>
      <c r="H24" s="80"/>
      <c r="I24" s="80"/>
      <c r="J24" s="81"/>
      <c r="K24" s="79" t="str">
        <f>IF([9]回答表!R44="●","●","")</f>
        <v/>
      </c>
      <c r="L24" s="80"/>
      <c r="M24" s="80"/>
      <c r="N24" s="80"/>
      <c r="O24" s="80"/>
      <c r="P24" s="80"/>
      <c r="Q24" s="81"/>
      <c r="R24" s="79" t="str">
        <f>IF([9]回答表!R45="●","●","")</f>
        <v/>
      </c>
      <c r="S24" s="80"/>
      <c r="T24" s="80"/>
      <c r="U24" s="80"/>
      <c r="V24" s="80"/>
      <c r="W24" s="80"/>
      <c r="X24" s="81"/>
      <c r="Y24" s="79" t="str">
        <f>IF([9]回答表!R46="●","●","")</f>
        <v/>
      </c>
      <c r="Z24" s="80"/>
      <c r="AA24" s="80"/>
      <c r="AB24" s="80"/>
      <c r="AC24" s="80"/>
      <c r="AD24" s="80"/>
      <c r="AE24" s="81"/>
      <c r="AF24" s="79" t="str">
        <f>IF([9]回答表!R47="●","●","")</f>
        <v/>
      </c>
      <c r="AG24" s="80"/>
      <c r="AH24" s="80"/>
      <c r="AI24" s="80"/>
      <c r="AJ24" s="80"/>
      <c r="AK24" s="80"/>
      <c r="AL24" s="81"/>
      <c r="AM24" s="79" t="str">
        <f>IF([9]回答表!R48="●","●","")</f>
        <v/>
      </c>
      <c r="AN24" s="80"/>
      <c r="AO24" s="80"/>
      <c r="AP24" s="80"/>
      <c r="AQ24" s="80"/>
      <c r="AR24" s="80"/>
      <c r="AS24" s="81"/>
      <c r="AT24" s="79" t="str">
        <f>IF([9]回答表!R49="●","●","")</f>
        <v/>
      </c>
      <c r="AU24" s="80"/>
      <c r="AV24" s="80"/>
      <c r="AW24" s="80"/>
      <c r="AX24" s="80"/>
      <c r="AY24" s="80"/>
      <c r="AZ24" s="81"/>
      <c r="BA24" s="68"/>
      <c r="BB24" s="82" t="str">
        <f>IF([9]回答表!R50="●","●","")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IF([9]回答表!X43="●","●","")</f>
        <v/>
      </c>
      <c r="O36" s="131"/>
      <c r="P36" s="131"/>
      <c r="Q36" s="132"/>
      <c r="R36" s="119"/>
      <c r="S36" s="119"/>
      <c r="T36" s="119"/>
      <c r="U36" s="133" t="str">
        <f>IF([9]回答表!X43="●",[9]回答表!B59,IF([9]回答表!AA43="●",[9]回答表!B79,""))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IF([9]回答表!X43="●",[9]回答表!S65,IF([9]回答表!AA43="●",[9]回答表!S85,""))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IF([9]回答表!X43="●",[9]回答表!G65,IF([9]回答表!AA43="●",[9]回答表!G85,""))</f>
        <v/>
      </c>
      <c r="AN38" s="83"/>
      <c r="AO38" s="83"/>
      <c r="AP38" s="83"/>
      <c r="AQ38" s="83"/>
      <c r="AR38" s="83"/>
      <c r="AS38" s="83"/>
      <c r="AT38" s="153"/>
      <c r="AU38" s="82" t="str">
        <f>IF([9]回答表!X43="●",[9]回答表!G66,IF([9]回答表!AA43="●",[9]回答表!G86,""))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IF([9]回答表!X43="●",[9]回答表!V65,IF([9]回答表!AA43="●",[9]回答表!V85,""))</f>
        <v/>
      </c>
      <c r="BG39" s="16"/>
      <c r="BH39" s="16"/>
      <c r="BI39" s="17"/>
      <c r="BJ39" s="150" t="str">
        <f>IF([9]回答表!X43="●",[9]回答表!V66,IF([9]回答表!AA43="●",[9]回答表!V86,""))</f>
        <v/>
      </c>
      <c r="BK39" s="16"/>
      <c r="BL39" s="16"/>
      <c r="BM39" s="17"/>
      <c r="BN39" s="150" t="str">
        <f>IF([9]回答表!X43="●",[9]回答表!V67,IF([9]回答表!AA43="●",[9]回答表!V87,""))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IF([9]回答表!X43="●",[9]回答表!O71,IF([9]回答表!AA43="●",[9]回答表!O91,""))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IF([9]回答表!X43="●",[9]回答表!O72,IF([9]回答表!AA43="●",[9]回答表!O92,""))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IF([9]回答表!AA43="●","●","")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IF([9]回答表!X43="●",[9]回答表!O73,IF([9]回答表!AA43="●",[9]回答表!O93,""))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IF([9]回答表!X43="●",[9]回答表!O74,IF([9]回答表!AA43="●",[9]回答表!O94,""))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IF([9]回答表!X43="●",[9]回答表!AG71,IF([9]回答表!AA43="●",[9]回答表!AG91,""))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IF([9]回答表!X43="●",[9]回答表!AG72,IF([9]回答表!AA43="●",[9]回答表!AG92,""))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IF([9]回答表!AD43="●","●","")</f>
        <v/>
      </c>
      <c r="O51" s="131"/>
      <c r="P51" s="131"/>
      <c r="Q51" s="132"/>
      <c r="R51" s="119"/>
      <c r="S51" s="119"/>
      <c r="T51" s="119"/>
      <c r="U51" s="133" t="str">
        <f>IF([9]回答表!AD43="●",[9]回答表!B99,"")</f>
        <v/>
      </c>
      <c r="V51" s="134"/>
      <c r="W51" s="134"/>
      <c r="X51" s="134"/>
      <c r="Y51" s="134"/>
      <c r="Z51" s="134"/>
      <c r="AA51" s="134"/>
      <c r="AB51" s="134"/>
      <c r="AC51" s="134"/>
      <c r="AD51" s="134"/>
      <c r="AE51" s="134"/>
      <c r="AF51" s="134"/>
      <c r="AG51" s="134"/>
      <c r="AH51" s="134"/>
      <c r="AI51" s="134"/>
      <c r="AJ51" s="135"/>
      <c r="AK51" s="183"/>
      <c r="AL51" s="183"/>
      <c r="AM51" s="133" t="str">
        <f>IF([9]回答表!AD43="●",[9]回答表!B104,"")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IF([9]回答表!X44="●","●","")</f>
        <v/>
      </c>
      <c r="O62" s="131"/>
      <c r="P62" s="131"/>
      <c r="Q62" s="132"/>
      <c r="R62" s="119"/>
      <c r="S62" s="119"/>
      <c r="T62" s="119"/>
      <c r="U62" s="133" t="str">
        <f>IF([9]回答表!X44="●",[9]回答表!B115,IF([9]回答表!AA44="●",[9]回答表!B127,""))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IF([9]回答表!X44="●",[9]回答表!S121,IF([9]回答表!AA44="●",[9]回答表!S133,""))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IF([9]回答表!X44="●",[9]回答表!J121,IF([9]回答表!AA44="●",[9]回答表!J133,""))</f>
        <v/>
      </c>
      <c r="AN65" s="83"/>
      <c r="AO65" s="83"/>
      <c r="AP65" s="83"/>
      <c r="AQ65" s="83"/>
      <c r="AR65" s="83"/>
      <c r="AS65" s="83"/>
      <c r="AT65" s="153"/>
      <c r="AU65" s="82" t="str">
        <f>IF([9]回答表!X44="●",[9]回答表!J122,IF([9]回答表!AA44="●",[9]回答表!J134,""))</f>
        <v/>
      </c>
      <c r="AV65" s="83"/>
      <c r="AW65" s="83"/>
      <c r="AX65" s="83"/>
      <c r="AY65" s="83"/>
      <c r="AZ65" s="83"/>
      <c r="BA65" s="83"/>
      <c r="BB65" s="153"/>
      <c r="BC65" s="120"/>
      <c r="BD65" s="109"/>
      <c r="BE65" s="109"/>
      <c r="BF65" s="150" t="str">
        <f>IF([9]回答表!X44="●",[9]回答表!V121,IF([9]回答表!AA44="●",[9]回答表!V133,""))</f>
        <v/>
      </c>
      <c r="BG65" s="151"/>
      <c r="BH65" s="151"/>
      <c r="BI65" s="151"/>
      <c r="BJ65" s="150" t="str">
        <f>IF([9]回答表!X44="●",[9]回答表!V122,IF([9]回答表!AA44="●",[9]回答表!V134,""))</f>
        <v/>
      </c>
      <c r="BK65" s="151"/>
      <c r="BL65" s="151"/>
      <c r="BM65" s="151"/>
      <c r="BN65" s="150" t="str">
        <f>IF([9]回答表!X44="●",[9]回答表!V123,IF([9]回答表!AA44="●",[9]回答表!V135,""))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IF([9]回答表!AA44="●","●","")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IF([9]回答表!AD44="●","●","")</f>
        <v/>
      </c>
      <c r="O74" s="131"/>
      <c r="P74" s="131"/>
      <c r="Q74" s="132"/>
      <c r="R74" s="119"/>
      <c r="S74" s="119"/>
      <c r="T74" s="119"/>
      <c r="U74" s="133" t="str">
        <f>IF([9]回答表!AD44="●",[9]回答表!B140,"")</f>
        <v/>
      </c>
      <c r="V74" s="134"/>
      <c r="W74" s="134"/>
      <c r="X74" s="134"/>
      <c r="Y74" s="134"/>
      <c r="Z74" s="134"/>
      <c r="AA74" s="134"/>
      <c r="AB74" s="134"/>
      <c r="AC74" s="134"/>
      <c r="AD74" s="134"/>
      <c r="AE74" s="134"/>
      <c r="AF74" s="134"/>
      <c r="AG74" s="134"/>
      <c r="AH74" s="134"/>
      <c r="AI74" s="134"/>
      <c r="AJ74" s="135"/>
      <c r="AK74" s="183"/>
      <c r="AL74" s="183"/>
      <c r="AM74" s="133" t="str">
        <f>IF([9]回答表!AD44="●",[9]回答表!B146,"")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IF([9]回答表!F17="水道事業",IF([9]回答表!X45="●","●",""),"")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IF([9]回答表!F17="水道事業",IF([9]回答表!X45="●",[9]回答表!B158,IF([9]回答表!AA45="●",[9]回答表!B223,"")),"")</f>
        <v/>
      </c>
      <c r="AN86" s="201"/>
      <c r="AO86" s="201"/>
      <c r="AP86" s="201"/>
      <c r="AQ86" s="201"/>
      <c r="AR86" s="201"/>
      <c r="AS86" s="201"/>
      <c r="AT86" s="201"/>
      <c r="AU86" s="201"/>
      <c r="AV86" s="201"/>
      <c r="AW86" s="201"/>
      <c r="AX86" s="201"/>
      <c r="AY86" s="201"/>
      <c r="AZ86" s="201"/>
      <c r="BA86" s="201"/>
      <c r="BB86" s="201"/>
      <c r="BC86" s="202"/>
      <c r="BD86" s="109"/>
      <c r="BE86" s="109"/>
      <c r="BF86" s="138" t="str">
        <f>IF([9]回答表!F17="水道事業",IF([9]回答表!X45="●",[9]回答表!B212,IF([9]回答表!AA45="●",[9]回答表!B278,"")),"")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IF([9]回答表!F17="水道事業",IF([9]回答表!X45="●",[9]回答表!J166,IF([9]回答表!AA45="●",[9]回答表!J231,"")),"")</f>
        <v/>
      </c>
      <c r="V88" s="83"/>
      <c r="W88" s="83"/>
      <c r="X88" s="83"/>
      <c r="Y88" s="83"/>
      <c r="Z88" s="83"/>
      <c r="AA88" s="83"/>
      <c r="AB88" s="153"/>
      <c r="AC88" s="82" t="str">
        <f>IF([9]回答表!F17="水道事業",IF([9]回答表!X45="●",[9]回答表!J173,IF([9]回答表!AA45="●",[9]回答表!J238,"")),"")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IF([9]回答表!F17="水道事業",IF([9]回答表!X45="●",[9]回答表!E212,IF([9]回答表!AA45="●",[9]回答表!E278,"")),"")</f>
        <v/>
      </c>
      <c r="BG89" s="151"/>
      <c r="BH89" s="151"/>
      <c r="BI89" s="151"/>
      <c r="BJ89" s="150" t="str">
        <f>IF([9]回答表!F17="水道事業",IF([9]回答表!X45="●",[9]回答表!E213,IF([9]回答表!AA45="●",[9]回答表!E279,"")),"")</f>
        <v/>
      </c>
      <c r="BK89" s="151"/>
      <c r="BL89" s="151"/>
      <c r="BM89" s="151"/>
      <c r="BN89" s="150" t="str">
        <f>IF([9]回答表!F17="水道事業",IF([9]回答表!X45="●",[9]回答表!E214,IF([9]回答表!AA45="●",[9]回答表!E280,"")),"")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IF([9]回答表!F17="水道事業",IF([9]回答表!AA45="●","●",""),"")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IF([9]回答表!F17="水道事業",IF([9]回答表!X45="●",[9]回答表!J176,IF([9]回答表!AA45="●",[9]回答表!J241,"")),"")</f>
        <v/>
      </c>
      <c r="V93" s="83"/>
      <c r="W93" s="83"/>
      <c r="X93" s="83"/>
      <c r="Y93" s="83"/>
      <c r="Z93" s="83"/>
      <c r="AA93" s="83"/>
      <c r="AB93" s="153"/>
      <c r="AC93" s="82" t="str">
        <f>IF([9]回答表!F17="水道事業",IF([9]回答表!X45="●",[9]回答表!J180,IF([9]回答表!AA45="●",[9]回答表!J245,"")),"")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IF([9]回答表!F17="水道事業",IF([9]回答表!AD45="○","○",""),"")</f>
        <v/>
      </c>
      <c r="O98" s="131"/>
      <c r="P98" s="131"/>
      <c r="Q98" s="132"/>
      <c r="R98" s="119"/>
      <c r="S98" s="119"/>
      <c r="T98" s="119"/>
      <c r="U98" s="133" t="str">
        <f>IF([9]回答表!F17="水道事業",IF([9]回答表!AD45="●",[9]回答表!B289,""),"")</f>
        <v/>
      </c>
      <c r="V98" s="134"/>
      <c r="W98" s="134"/>
      <c r="X98" s="134"/>
      <c r="Y98" s="134"/>
      <c r="Z98" s="134"/>
      <c r="AA98" s="134"/>
      <c r="AB98" s="134"/>
      <c r="AC98" s="134"/>
      <c r="AD98" s="134"/>
      <c r="AE98" s="134"/>
      <c r="AF98" s="134"/>
      <c r="AG98" s="134"/>
      <c r="AH98" s="134"/>
      <c r="AI98" s="134"/>
      <c r="AJ98" s="135"/>
      <c r="AK98" s="183"/>
      <c r="AL98" s="183"/>
      <c r="AM98" s="133" t="str">
        <f>IF([9]回答表!F17="水道事業",IF([9]回答表!AD45="●",[9]回答表!B295,""),"")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IF([9]回答表!F17="簡易水道事業",IF([9]回答表!X45="●",[9]回答表!B158,IF([9]回答表!AA45="●",[9]回答表!B223,"")),"")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IF([9]回答表!F17="簡易水道事業",IF([9]回答表!X45="●",[9]回答表!B212,IF([9]回答表!AA45="●",[9]回答表!B278,"")),"")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IF([9]回答表!F17="簡易水道事業",IF([9]回答表!X45="●","●",""),"")</f>
        <v/>
      </c>
      <c r="O112" s="131"/>
      <c r="P112" s="131"/>
      <c r="Q112" s="132"/>
      <c r="R112" s="119"/>
      <c r="S112" s="119"/>
      <c r="T112" s="119"/>
      <c r="U112" s="82" t="str">
        <f>IF([9]回答表!F17="簡易水道事業",IF([9]回答表!X45="●",[9]回答表!Y185,IF([9]回答表!AA45="●",[9]回答表!Y251,"")),"")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IF([9]回答表!F17="簡易水道事業",IF([9]回答表!X45="●",[9]回答表!E212,IF([9]回答表!AA45="●",[9]回答表!E278,"")),"")</f>
        <v/>
      </c>
      <c r="BG113" s="151"/>
      <c r="BH113" s="151"/>
      <c r="BI113" s="151"/>
      <c r="BJ113" s="150" t="str">
        <f>IF([9]回答表!F17="簡易水道事業",IF([9]回答表!X45="●",[9]回答表!E213,IF([9]回答表!AA45="●",[9]回答表!E279,"")),"")</f>
        <v/>
      </c>
      <c r="BK113" s="151"/>
      <c r="BL113" s="151"/>
      <c r="BM113" s="151"/>
      <c r="BN113" s="150" t="str">
        <f>IF([9]回答表!F17="簡易水道事業",IF([9]回答表!X45="●",[9]回答表!E214,IF([9]回答表!AA45="●",[9]回答表!E280,"")),"")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IF([9]回答表!F17="簡易水道事業",IF([9]回答表!X45="●",[9]回答表!Y186,IF([9]回答表!AA45="●",[9]回答表!Y252,"")),"")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IF([9]回答表!F17="簡易水道事業",IF([9]回答表!AA45="●","●",""),"")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IF([9]回答表!F17="簡易水道事業",IF([9]回答表!X45="●",[9]回答表!Y187,IF([9]回答表!AA45="●",[9]回答表!Y253,"")),"")</f>
        <v/>
      </c>
      <c r="V122" s="83"/>
      <c r="W122" s="83"/>
      <c r="X122" s="83"/>
      <c r="Y122" s="83"/>
      <c r="Z122" s="83"/>
      <c r="AA122" s="83"/>
      <c r="AB122" s="83"/>
      <c r="AC122" s="83"/>
      <c r="AD122" s="83"/>
      <c r="AE122" s="83"/>
      <c r="AF122" s="83"/>
      <c r="AG122" s="83"/>
      <c r="AH122" s="83"/>
      <c r="AI122" s="83"/>
      <c r="AJ122" s="153"/>
      <c r="AK122" s="68"/>
      <c r="AL122" s="68"/>
      <c r="AM122" s="233" t="str">
        <f>IF([9]回答表!F17="簡易水道事業",IF([9]回答表!X45="●",[9]回答表!Y189,IF([9]回答表!AA45="●",[9]回答表!Y255,"")),"")</f>
        <v/>
      </c>
      <c r="AN122" s="233"/>
      <c r="AO122" s="233"/>
      <c r="AP122" s="233"/>
      <c r="AQ122" s="233"/>
      <c r="AR122" s="233"/>
      <c r="AS122" s="233" t="str">
        <f>IF([9]回答表!F17="簡易水道事業",IF([9]回答表!X45="●",[9]回答表!Y190,IF([9]回答表!AA45="●",[9]回答表!Y256,"")),"")</f>
        <v/>
      </c>
      <c r="AT122" s="233"/>
      <c r="AU122" s="233"/>
      <c r="AV122" s="233"/>
      <c r="AW122" s="233"/>
      <c r="AX122" s="233"/>
      <c r="AY122" s="233" t="str">
        <f>IF([9]回答表!F17="簡易水道事業",IF([9]回答表!X45="●",[9]回答表!Y191,IF([9]回答表!AA45="●",[9]回答表!Y257,"")),"")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IF([9]回答表!F17="簡易水道事業",IF([9]回答表!AD45="●","●",""),"")</f>
        <v/>
      </c>
      <c r="O127" s="131"/>
      <c r="P127" s="131"/>
      <c r="Q127" s="132"/>
      <c r="R127" s="119"/>
      <c r="S127" s="119"/>
      <c r="T127" s="119"/>
      <c r="U127" s="133" t="str">
        <f>IF([9]回答表!F17="簡易水道事業",IF([9]回答表!AD45="●",[9]回答表!B289,""),"")</f>
        <v/>
      </c>
      <c r="V127" s="134"/>
      <c r="W127" s="134"/>
      <c r="X127" s="134"/>
      <c r="Y127" s="134"/>
      <c r="Z127" s="134"/>
      <c r="AA127" s="134"/>
      <c r="AB127" s="134"/>
      <c r="AC127" s="134"/>
      <c r="AD127" s="134"/>
      <c r="AE127" s="134"/>
      <c r="AF127" s="134"/>
      <c r="AG127" s="134"/>
      <c r="AH127" s="134"/>
      <c r="AI127" s="134"/>
      <c r="AJ127" s="135"/>
      <c r="AK127" s="183"/>
      <c r="AL127" s="183"/>
      <c r="AM127" s="133" t="str">
        <f>IF([9]回答表!F17="簡易水道事業",IF([9]回答表!AD45="●",[9]回答表!B295,""),"")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IF([9]回答表!F17="下水道事業",IF([9]回答表!X45="●","●",""),"")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IF([9]回答表!F17="下水道事業",IF([9]回答表!X45="●",[9]回答表!B158,IF([9]回答表!AA45="●",[9]回答表!B223,"")),"")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IF([9]回答表!F17="下水道事業",IF([9]回答表!X45="●",[9]回答表!B212,IF([9]回答表!AA45="●",[9]回答表!B278,"")),"")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IF([9]回答表!F17="下水道事業",IF([9]回答表!X45="●",[9]回答表!Y193,IF([9]回答表!AA45="●",[9]回答表!Y259,"")),"")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IF([9]回答表!F17="下水道事業",IF([9]回答表!X45="●",[9]回答表!E212,IF([9]回答表!AA45="●",[9]回答表!E278,"")),"")</f>
        <v/>
      </c>
      <c r="BG142" s="151"/>
      <c r="BH142" s="151"/>
      <c r="BI142" s="151"/>
      <c r="BJ142" s="150" t="str">
        <f>IF([9]回答表!F17="下水道事業",IF([9]回答表!X45="●",[9]回答表!E213,IF([9]回答表!AA45="●",[9]回答表!E279,"")),"")</f>
        <v/>
      </c>
      <c r="BK142" s="151"/>
      <c r="BL142" s="151"/>
      <c r="BM142" s="151"/>
      <c r="BN142" s="150" t="str">
        <f>IF([9]回答表!F17="下水道事業",IF([9]回答表!X45="●",[9]回答表!E214,IF([9]回答表!AA45="●",[9]回答表!E280,"")),"")</f>
        <v/>
      </c>
      <c r="BO142" s="151"/>
      <c r="BP142" s="151"/>
      <c r="BQ142" s="152"/>
      <c r="BR142" s="112"/>
      <c r="BX142" s="200" t="str">
        <f>IF([9]回答表!AQ20="下水道事業",IF([9]回答表!BI48="○",[9]回答表!AM161,IF([9]回答表!BL48="○",[9]回答表!AM226,"")),"")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IF([9]回答表!F17="下水道事業",IF([9]回答表!X45="●",[9]回答表!Y195,IF([9]回答表!AA45="●",[9]回答表!Y261,"")),"")</f>
        <v/>
      </c>
      <c r="V147" s="83"/>
      <c r="W147" s="83"/>
      <c r="X147" s="83"/>
      <c r="Y147" s="83"/>
      <c r="Z147" s="83"/>
      <c r="AA147" s="83"/>
      <c r="AB147" s="153"/>
      <c r="AC147" s="82" t="str">
        <f>IF([9]回答表!F17="下水道事業",IF([9]回答表!X45="●",[9]回答表!Y196,IF([9]回答表!AA45="●",[9]回答表!Y262,"")),"")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IF([9]回答表!F17="下水道事業",IF([9]回答表!X45="●",[9]回答表!Y198,IF([9]回答表!AA45="●",[9]回答表!Y264,"")),"")</f>
        <v/>
      </c>
      <c r="V153" s="83"/>
      <c r="W153" s="83"/>
      <c r="X153" s="83"/>
      <c r="Y153" s="83"/>
      <c r="Z153" s="83"/>
      <c r="AA153" s="83"/>
      <c r="AB153" s="153"/>
      <c r="AC153" s="82" t="str">
        <f>IF([9]回答表!F17="下水道事業",IF([9]回答表!X45="●",[9]回答表!Y199,IF([9]回答表!AA45="●",[9]回答表!Y265,"")),"")</f>
        <v/>
      </c>
      <c r="AD153" s="83"/>
      <c r="AE153" s="83"/>
      <c r="AF153" s="83"/>
      <c r="AG153" s="83"/>
      <c r="AH153" s="83"/>
      <c r="AI153" s="83"/>
      <c r="AJ153" s="153"/>
      <c r="AK153" s="82" t="str">
        <f>IF([9]回答表!F17="下水道事業",IF([9]回答表!X45="●",[9]回答表!Y200,IF([9]回答表!AA45="●",[9]回答表!Y266,"")),"")</f>
        <v/>
      </c>
      <c r="AL153" s="83"/>
      <c r="AM153" s="83"/>
      <c r="AN153" s="83"/>
      <c r="AO153" s="83"/>
      <c r="AP153" s="83"/>
      <c r="AQ153" s="83"/>
      <c r="AR153" s="153"/>
      <c r="AS153" s="82" t="str">
        <f>IF([9]回答表!F17="下水道事業",IF([9]回答表!X45="●",[9]回答表!Y201,IF([9]回答表!AA45="●",[9]回答表!Y267,"")),"")</f>
        <v/>
      </c>
      <c r="AT153" s="83"/>
      <c r="AU153" s="83"/>
      <c r="AV153" s="83"/>
      <c r="AW153" s="83"/>
      <c r="AX153" s="83"/>
      <c r="AY153" s="83"/>
      <c r="AZ153" s="153"/>
      <c r="BA153" s="82" t="str">
        <f>IF([9]回答表!F17="下水道事業",IF([9]回答表!X45="●",[9]回答表!Y202,IF([9]回答表!AA45="●",[9]回答表!Y268,"")),"")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IF([9]回答表!F17="下水道事業",IF([9]回答表!AA45="●","●",""),"")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IF([9]回答表!F17="下水道事業",IF([9]回答表!X45="●",[9]回答表!Y207,IF([9]回答表!AA45="●",[9]回答表!Y273,"")),"")</f>
        <v/>
      </c>
      <c r="V159" s="83"/>
      <c r="W159" s="83"/>
      <c r="X159" s="83"/>
      <c r="Y159" s="83"/>
      <c r="Z159" s="83"/>
      <c r="AA159" s="83"/>
      <c r="AB159" s="153"/>
      <c r="AC159" s="82" t="str">
        <f>IF([9]回答表!F17="下水道事業",IF([9]回答表!X45="●",[9]回答表!Y208,IF([9]回答表!AA45="●",[9]回答表!Y274,"")),"")</f>
        <v/>
      </c>
      <c r="AD159" s="83"/>
      <c r="AE159" s="83"/>
      <c r="AF159" s="83"/>
      <c r="AG159" s="83"/>
      <c r="AH159" s="83"/>
      <c r="AI159" s="83"/>
      <c r="AJ159" s="153"/>
      <c r="AK159" s="82" t="str">
        <f>IF([9]回答表!F17="下水道事業",IF([9]回答表!X45="●",[9]回答表!Y209,IF([9]回答表!AA45="●",[9]回答表!Y275,"")),"")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IF([9]回答表!F17="下水道事業",IF([9]回答表!AD45="●","●",""),"")</f>
        <v/>
      </c>
      <c r="O164" s="131"/>
      <c r="P164" s="131"/>
      <c r="Q164" s="132"/>
      <c r="R164" s="119"/>
      <c r="S164" s="119"/>
      <c r="T164" s="119"/>
      <c r="U164" s="133" t="str">
        <f>IF([9]回答表!F17="下水道事業",IF([9]回答表!AD45="●",[9]回答表!B289,""),"")</f>
        <v/>
      </c>
      <c r="V164" s="134"/>
      <c r="W164" s="134"/>
      <c r="X164" s="134"/>
      <c r="Y164" s="134"/>
      <c r="Z164" s="134"/>
      <c r="AA164" s="134"/>
      <c r="AB164" s="134"/>
      <c r="AC164" s="134"/>
      <c r="AD164" s="134"/>
      <c r="AE164" s="134"/>
      <c r="AF164" s="134"/>
      <c r="AG164" s="134"/>
      <c r="AH164" s="134"/>
      <c r="AI164" s="134"/>
      <c r="AJ164" s="135"/>
      <c r="AK164" s="183"/>
      <c r="AL164" s="183"/>
      <c r="AM164" s="133" t="str">
        <f>IF([9]回答表!F17="下水道事業",IF([9]回答表!AD45="●",[9]回答表!B295,""),"")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IF([9]回答表!BD17="●",IF([9]回答表!X45="●","●",""),"")</f>
        <v/>
      </c>
      <c r="O176" s="131"/>
      <c r="P176" s="131"/>
      <c r="Q176" s="132"/>
      <c r="R176" s="119"/>
      <c r="S176" s="119"/>
      <c r="T176" s="119"/>
      <c r="U176" s="133" t="str">
        <f>IF([9]回答表!BD17="●",IF([9]回答表!X45="●",[9]回答表!B158,IF([9]回答表!AA45="●",[9]回答表!B223,"")),"")</f>
        <v/>
      </c>
      <c r="V176" s="134"/>
      <c r="W176" s="134"/>
      <c r="X176" s="134"/>
      <c r="Y176" s="134"/>
      <c r="Z176" s="134"/>
      <c r="AA176" s="134"/>
      <c r="AB176" s="134"/>
      <c r="AC176" s="134"/>
      <c r="AD176" s="134"/>
      <c r="AE176" s="134"/>
      <c r="AF176" s="134"/>
      <c r="AG176" s="134"/>
      <c r="AH176" s="134"/>
      <c r="AI176" s="134"/>
      <c r="AJ176" s="135"/>
      <c r="AK176" s="136"/>
      <c r="AL176" s="136"/>
      <c r="AM176" s="138" t="str">
        <f>IF([9]回答表!BD17="●",IF([9]回答表!X45="●",[9]回答表!B212,IF([9]回答表!AA45="●",[9]回答表!B278,"")),"")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IF([9]回答表!BD17="●",IF([9]回答表!X45="●",[9]回答表!E212,IF([9]回答表!AA45="●",[9]回答表!E278,"")),"")</f>
        <v/>
      </c>
      <c r="AN179" s="151"/>
      <c r="AO179" s="151"/>
      <c r="AP179" s="151"/>
      <c r="AQ179" s="150" t="str">
        <f>IF([9]回答表!BD17="●",IF([9]回答表!X45="●",[9]回答表!E213,IF([9]回答表!AA45="●",[9]回答表!E279,"")),"")</f>
        <v/>
      </c>
      <c r="AR179" s="151"/>
      <c r="AS179" s="151"/>
      <c r="AT179" s="151"/>
      <c r="AU179" s="150" t="str">
        <f>IF([9]回答表!BD17="●",IF([9]回答表!X45="●",[9]回答表!E214,IF([9]回答表!AA45="●",[9]回答表!E280,"")),"")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IF([9]回答表!BD17="●",IF([9]回答表!AA45="●","●",""),"")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IF([9]回答表!BD17="●",IF([9]回答表!AD45="●","●",""),"")</f>
        <v/>
      </c>
      <c r="O188" s="131"/>
      <c r="P188" s="131"/>
      <c r="Q188" s="132"/>
      <c r="R188" s="119"/>
      <c r="S188" s="119"/>
      <c r="T188" s="119"/>
      <c r="U188" s="133" t="str">
        <f>IF([9]回答表!BD17="●",IF([9]回答表!AD45="●",[9]回答表!B289,""),"")</f>
        <v/>
      </c>
      <c r="V188" s="134"/>
      <c r="W188" s="134"/>
      <c r="X188" s="134"/>
      <c r="Y188" s="134"/>
      <c r="Z188" s="134"/>
      <c r="AA188" s="134"/>
      <c r="AB188" s="134"/>
      <c r="AC188" s="134"/>
      <c r="AD188" s="134"/>
      <c r="AE188" s="134"/>
      <c r="AF188" s="134"/>
      <c r="AG188" s="134"/>
      <c r="AH188" s="134"/>
      <c r="AI188" s="134"/>
      <c r="AJ188" s="135"/>
      <c r="AK188" s="183"/>
      <c r="AL188" s="183"/>
      <c r="AM188" s="133" t="str">
        <f>IF([9]回答表!BD17="●",IF([9]回答表!AD45="●",[9]回答表!B295,""),"")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IF([9]回答表!X46="●","●","")</f>
        <v/>
      </c>
      <c r="O200" s="131"/>
      <c r="P200" s="131"/>
      <c r="Q200" s="132"/>
      <c r="R200" s="119"/>
      <c r="S200" s="119"/>
      <c r="T200" s="119"/>
      <c r="U200" s="133" t="str">
        <f>IF([9]回答表!X46="●",[9]回答表!B307,IF([9]回答表!AA46="●",[9]回答表!B324,""))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IF([9]回答表!X46="●",[9]回答表!U313,IF([9]回答表!AA46="●",[9]回答表!U330,""))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IF([9]回答表!X46="●",[9]回答表!G313,IF([9]回答表!AA46="●",[9]回答表!G330,""))</f>
        <v/>
      </c>
      <c r="AN203" s="83"/>
      <c r="AO203" s="83"/>
      <c r="AP203" s="83"/>
      <c r="AQ203" s="83"/>
      <c r="AR203" s="83"/>
      <c r="AS203" s="83"/>
      <c r="AT203" s="153"/>
      <c r="AU203" s="82" t="str">
        <f>IF([9]回答表!X46="●",[9]回答表!G314,IF([9]回答表!AA46="●",[9]回答表!G331,""))</f>
        <v/>
      </c>
      <c r="AV203" s="83"/>
      <c r="AW203" s="83"/>
      <c r="AX203" s="83"/>
      <c r="AY203" s="83"/>
      <c r="AZ203" s="83"/>
      <c r="BA203" s="83"/>
      <c r="BB203" s="153"/>
      <c r="BC203" s="120"/>
      <c r="BD203" s="109"/>
      <c r="BE203" s="109"/>
      <c r="BF203" s="150" t="str">
        <f>IF([9]回答表!X46="●",[9]回答表!X313,IF([9]回答表!AA46="●",[9]回答表!X330,""))</f>
        <v/>
      </c>
      <c r="BG203" s="151"/>
      <c r="BH203" s="151"/>
      <c r="BI203" s="151"/>
      <c r="BJ203" s="150" t="str">
        <f>IF([9]回答表!X46="●",[9]回答表!X314,IF([9]回答表!AA46="●",[9]回答表!X331,""))</f>
        <v/>
      </c>
      <c r="BK203" s="151"/>
      <c r="BL203" s="151"/>
      <c r="BM203" s="152"/>
      <c r="BN203" s="150" t="str">
        <f>IF([9]回答表!X46="●",[9]回答表!X315,IF([9]回答表!AA46="●",[9]回答表!X332,""))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IF([9]回答表!AA46="●","●","")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IF([9]回答表!AD46="●","●","")</f>
        <v/>
      </c>
      <c r="O212" s="131"/>
      <c r="P212" s="131"/>
      <c r="Q212" s="132"/>
      <c r="R212" s="119"/>
      <c r="S212" s="119"/>
      <c r="T212" s="119"/>
      <c r="U212" s="133" t="str">
        <f>IF([9]回答表!AD46="●",[9]回答表!B337,"")</f>
        <v/>
      </c>
      <c r="V212" s="134"/>
      <c r="W212" s="134"/>
      <c r="X212" s="134"/>
      <c r="Y212" s="134"/>
      <c r="Z212" s="134"/>
      <c r="AA212" s="134"/>
      <c r="AB212" s="134"/>
      <c r="AC212" s="134"/>
      <c r="AD212" s="134"/>
      <c r="AE212" s="134"/>
      <c r="AF212" s="134"/>
      <c r="AG212" s="134"/>
      <c r="AH212" s="134"/>
      <c r="AI212" s="134"/>
      <c r="AJ212" s="135"/>
      <c r="AK212" s="259"/>
      <c r="AL212" s="259"/>
      <c r="AM212" s="133" t="str">
        <f>IF([9]回答表!AD46="●",[9]回答表!B343,"")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IF([9]回答表!X47="●","●","")</f>
        <v/>
      </c>
      <c r="O224" s="131"/>
      <c r="P224" s="131"/>
      <c r="Q224" s="132"/>
      <c r="R224" s="119"/>
      <c r="S224" s="119"/>
      <c r="T224" s="119"/>
      <c r="U224" s="133" t="str">
        <f>IF([9]回答表!X47="●",[9]回答表!B356,IF([9]回答表!AA47="●",[9]回答表!B379,""))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IF([9]回答表!X47="●",[9]回答表!B362,"")</f>
        <v/>
      </c>
      <c r="AO224" s="263"/>
      <c r="AP224" s="263"/>
      <c r="AQ224" s="263"/>
      <c r="AR224" s="263"/>
      <c r="AS224" s="263"/>
      <c r="AT224" s="263"/>
      <c r="AU224" s="263"/>
      <c r="AV224" s="263"/>
      <c r="AW224" s="263"/>
      <c r="AX224" s="263"/>
      <c r="AY224" s="263"/>
      <c r="AZ224" s="263"/>
      <c r="BA224" s="263"/>
      <c r="BB224" s="264"/>
      <c r="BC224" s="120"/>
      <c r="BD224" s="109"/>
      <c r="BE224" s="109"/>
      <c r="BF224" s="138" t="str">
        <f>IF([9]回答表!X47="●",[9]回答表!B368,IF([9]回答表!AA47="●",[9]回答表!B385,""))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IF([9]回答表!X47="●",[9]回答表!E368,IF([9]回答表!AA47="●",[9]回答表!E385,""))</f>
        <v/>
      </c>
      <c r="BG227" s="151"/>
      <c r="BH227" s="151"/>
      <c r="BI227" s="151"/>
      <c r="BJ227" s="150" t="str">
        <f>IF([9]回答表!X47="●",[9]回答表!E369,IF([9]回答表!AA47="●",[9]回答表!E386,""))</f>
        <v/>
      </c>
      <c r="BK227" s="151"/>
      <c r="BL227" s="151"/>
      <c r="BM227" s="152"/>
      <c r="BN227" s="150" t="str">
        <f>IF([9]回答表!X47="●",[9]回答表!E370,IF([9]回答表!AA47="●",[9]回答表!E387,""))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IF([9]回答表!AA47="●","●","")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IF([9]回答表!AD47="●","●","")</f>
        <v/>
      </c>
      <c r="O236" s="131"/>
      <c r="P236" s="131"/>
      <c r="Q236" s="132"/>
      <c r="R236" s="119"/>
      <c r="S236" s="119"/>
      <c r="T236" s="119"/>
      <c r="U236" s="133" t="str">
        <f>IF([9]回答表!AD47="●",[9]回答表!B392,"")</f>
        <v/>
      </c>
      <c r="V236" s="134"/>
      <c r="W236" s="134"/>
      <c r="X236" s="134"/>
      <c r="Y236" s="134"/>
      <c r="Z236" s="134"/>
      <c r="AA236" s="134"/>
      <c r="AB236" s="134"/>
      <c r="AC236" s="134"/>
      <c r="AD236" s="134"/>
      <c r="AE236" s="134"/>
      <c r="AF236" s="134"/>
      <c r="AG236" s="134"/>
      <c r="AH236" s="134"/>
      <c r="AI236" s="134"/>
      <c r="AJ236" s="135"/>
      <c r="AK236" s="259"/>
      <c r="AL236" s="259"/>
      <c r="AM236" s="133" t="str">
        <f>IF([9]回答表!AD47="●",[9]回答表!B398,"")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IF([9]回答表!X48="●","●","")</f>
        <v/>
      </c>
      <c r="O248" s="131"/>
      <c r="P248" s="131"/>
      <c r="Q248" s="132"/>
      <c r="R248" s="119"/>
      <c r="S248" s="119"/>
      <c r="T248" s="119"/>
      <c r="U248" s="133" t="str">
        <f>IF([9]回答表!X48="●",[9]回答表!B411,IF([9]回答表!AA48="●",[9]回答表!B425,""))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IF([9]回答表!X48="●",[9]回答表!BC418,IF([9]回答表!AA48="●",[9]回答表!BC432,""))</f>
        <v/>
      </c>
      <c r="AR248" s="272"/>
      <c r="AS248" s="272"/>
      <c r="AT248" s="272"/>
      <c r="AU248" s="273" t="s">
        <v>73</v>
      </c>
      <c r="AV248" s="274"/>
      <c r="AW248" s="274"/>
      <c r="AX248" s="275"/>
      <c r="AY248" s="272" t="str">
        <f>IF([9]回答表!X48="●",[9]回答表!BC423,IF([9]回答表!AA48="●",[9]回答表!BC437,""))</f>
        <v/>
      </c>
      <c r="AZ248" s="272"/>
      <c r="BA248" s="272"/>
      <c r="BB248" s="272"/>
      <c r="BC248" s="120"/>
      <c r="BD248" s="109"/>
      <c r="BE248" s="109"/>
      <c r="BF248" s="138" t="str">
        <f>IF([9]回答表!X48="●",[9]回答表!S417,IF([9]回答表!AA48="●",[9]回答表!S431,""))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IF([9]回答表!X48="●",[9]回答表!BC419,IF([9]回答表!AA48="●",[9]回答表!BC433,""))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IF([9]回答表!X48="●",[9]回答表!V417,IF([9]回答表!AA48="●",[9]回答表!V431,""))</f>
        <v/>
      </c>
      <c r="BG251" s="151"/>
      <c r="BH251" s="151"/>
      <c r="BI251" s="151"/>
      <c r="BJ251" s="150" t="str">
        <f>IF([9]回答表!X48="●",[9]回答表!V418,IF([9]回答表!AA48="●",[9]回答表!V432,""))</f>
        <v/>
      </c>
      <c r="BK251" s="151"/>
      <c r="BL251" s="151"/>
      <c r="BM251" s="152"/>
      <c r="BN251" s="150" t="str">
        <f>IF([9]回答表!X48="●",[9]回答表!V419,IF([9]回答表!AA48="●",[9]回答表!V433,""))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IF([9]回答表!X48="●",[9]回答表!BC420,IF([9]回答表!AA48="●",[9]回答表!BC434,""))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IF([9]回答表!X48="●",[9]回答表!BC424,IF([9]回答表!AA48="●",[9]回答表!BC438,""))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IF([9]回答表!AA48="●","●","")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IF([9]回答表!X48="●",[9]回答表!BC421,IF([9]回答表!AA48="●",[9]回答表!BC435,""))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IF([9]回答表!X48="●",[9]回答表!BC422,IF([9]回答表!AA48="●",[9]回答表!BC436,""))</f>
        <v/>
      </c>
      <c r="AR256" s="272"/>
      <c r="AS256" s="272"/>
      <c r="AT256" s="272"/>
      <c r="AU256" s="224" t="s">
        <v>79</v>
      </c>
      <c r="AV256" s="225"/>
      <c r="AW256" s="225"/>
      <c r="AX256" s="226"/>
      <c r="AY256" s="282" t="str">
        <f>IF([9]回答表!X48="●",[9]回答表!BC425,IF([9]回答表!AA48="●",[9]回答表!BC439,""))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IF([9]回答表!AD48="●","●","")</f>
        <v/>
      </c>
      <c r="O260" s="131"/>
      <c r="P260" s="131"/>
      <c r="Q260" s="132"/>
      <c r="R260" s="119"/>
      <c r="S260" s="119"/>
      <c r="T260" s="119"/>
      <c r="U260" s="133" t="str">
        <f>IF([9]回答表!AD48="●",[9]回答表!B439,"")</f>
        <v/>
      </c>
      <c r="V260" s="134"/>
      <c r="W260" s="134"/>
      <c r="X260" s="134"/>
      <c r="Y260" s="134"/>
      <c r="Z260" s="134"/>
      <c r="AA260" s="134"/>
      <c r="AB260" s="134"/>
      <c r="AC260" s="134"/>
      <c r="AD260" s="134"/>
      <c r="AE260" s="134"/>
      <c r="AF260" s="134"/>
      <c r="AG260" s="134"/>
      <c r="AH260" s="134"/>
      <c r="AI260" s="134"/>
      <c r="AJ260" s="135"/>
      <c r="AK260" s="183"/>
      <c r="AL260" s="183"/>
      <c r="AM260" s="133" t="str">
        <f>IF([9]回答表!AD48="●",[9]回答表!B445,"")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IF([9]回答表!X49="●","●","")</f>
        <v/>
      </c>
      <c r="O271" s="131"/>
      <c r="P271" s="131"/>
      <c r="Q271" s="132"/>
      <c r="R271" s="119"/>
      <c r="S271" s="119"/>
      <c r="T271" s="119"/>
      <c r="U271" s="133" t="str">
        <f>IF([9]回答表!X49="●",[9]回答表!B458,IF([9]回答表!AA49="●",[9]回答表!B475,""))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IF([9]回答表!X49="●",[9]回答表!B468,IF([9]回答表!AA49="●",[9]回答表!B485,""))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IF([9]回答表!X49="●",[9]回答表!G464,IF([9]回答表!AA49="●",[9]回答表!G481,""))</f>
        <v/>
      </c>
      <c r="AN273" s="83"/>
      <c r="AO273" s="83"/>
      <c r="AP273" s="83"/>
      <c r="AQ273" s="83"/>
      <c r="AR273" s="83"/>
      <c r="AS273" s="83"/>
      <c r="AT273" s="153"/>
      <c r="AU273" s="82" t="str">
        <f>IF([9]回答表!X49="●",[9]回答表!G465,IF([9]回答表!AA49="●",[9]回答表!G482,""))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IF([9]回答表!X49="●",[9]回答表!E468,IF([9]回答表!AA49="●",[9]回答表!E485,""))</f>
        <v/>
      </c>
      <c r="BG274" s="151"/>
      <c r="BH274" s="151"/>
      <c r="BI274" s="151"/>
      <c r="BJ274" s="150" t="str">
        <f>IF([9]回答表!X49="●",[9]回答表!E469,IF([9]回答表!AA49="●",[9]回答表!E486,""))</f>
        <v/>
      </c>
      <c r="BK274" s="151"/>
      <c r="BL274" s="151"/>
      <c r="BM274" s="152"/>
      <c r="BN274" s="150" t="str">
        <f>IF([9]回答表!X49="●",[9]回答表!E470,IF([9]回答表!AA49="●",[9]回答表!E487,""))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IF([9]回答表!AA49="●","●","")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IF([9]回答表!AD49="●","●","")</f>
        <v/>
      </c>
      <c r="O283" s="131"/>
      <c r="P283" s="131"/>
      <c r="Q283" s="132"/>
      <c r="R283" s="119"/>
      <c r="S283" s="119"/>
      <c r="T283" s="119"/>
      <c r="U283" s="133" t="str">
        <f>IF([9]回答表!AD49="●",[9]回答表!B492,"")</f>
        <v/>
      </c>
      <c r="V283" s="134"/>
      <c r="W283" s="134"/>
      <c r="X283" s="134"/>
      <c r="Y283" s="134"/>
      <c r="Z283" s="134"/>
      <c r="AA283" s="134"/>
      <c r="AB283" s="134"/>
      <c r="AC283" s="134"/>
      <c r="AD283" s="134"/>
      <c r="AE283" s="134"/>
      <c r="AF283" s="134"/>
      <c r="AG283" s="134"/>
      <c r="AH283" s="134"/>
      <c r="AI283" s="134"/>
      <c r="AJ283" s="135"/>
      <c r="AK283" s="136"/>
      <c r="AL283" s="136"/>
      <c r="AM283" s="133" t="str">
        <f>IF([9]回答表!AD49="●",[9]回答表!B498,"")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IF([9]回答表!R50="●",[9]回答表!B511,"")</f>
        <v>　真木関根地区小水力発電施設の発電事業は令和元年度から開始しており、経営体制・手法を見直すには日が浅く、更に予算規模も少額である。そして、再生可能エネルギーの普及・啓発のため反復的に発電事業を行う目的であることから、現行の経営体制・手法で対応可能と考えている。</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3" priority="2">
      <formula>$BB$25="○"</formula>
    </cfRule>
  </conditionalFormatting>
  <conditionalFormatting sqref="BD28:BD30">
    <cfRule type="expression" dxfId="12"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